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ACCOUNTANCY\SCHOOLS &amp; ACADEMIES\SCHOOLS\Benchmarking\2024-25\"/>
    </mc:Choice>
  </mc:AlternateContent>
  <xr:revisionPtr revIDLastSave="0" documentId="13_ncr:1_{F66D3FDE-7FFD-4AA8-AF56-3B906EDA318E}" xr6:coauthVersionLast="47" xr6:coauthVersionMax="47" xr10:uidLastSave="{00000000-0000-0000-0000-000000000000}"/>
  <workbookProtection workbookAlgorithmName="SHA-512" workbookHashValue="7WbrwDG0RuX2yR5vDr95+Lg8RGqQLHwWMyMGOZ6pmJ3GaiR3r2WfzIjNb1Wipbv8BQWPfywzz2RF0qZPAfS8jA==" workbookSaltValue="KwKvujEYYgAr1BRcVj7VwQ==" workbookSpinCount="100000" lockStructure="1"/>
  <bookViews>
    <workbookView xWindow="-120" yWindow="-120" windowWidth="29040" windowHeight="15720" tabRatio="744" xr2:uid="{00000000-000D-0000-FFFF-FFFF00000000}"/>
  </bookViews>
  <sheets>
    <sheet name="Information page" sheetId="21" r:id="rId1"/>
    <sheet name="Graphs" sheetId="17" r:id="rId2"/>
    <sheet name="Graphs %" sheetId="18" r:id="rId3"/>
    <sheet name="Utilities" sheetId="23" r:id="rId4"/>
    <sheet name="Teaching" sheetId="22" r:id="rId5"/>
    <sheet name="Support staff" sheetId="24" r:id="rId6"/>
    <sheet name="Data" sheetId="4" state="hidden" r:id="rId7"/>
    <sheet name="Cost elements" sheetId="19" state="hidden" r:id="rId8"/>
    <sheet name="Lookup" sheetId="20" state="hidden" r:id="rId9"/>
  </sheets>
  <definedNames>
    <definedName name="column">Graphs!$D$64:$E$81</definedName>
    <definedName name="column2">Graphs!$E$64:$F$103</definedName>
    <definedName name="cost">Lookup!$A$1:$B$153</definedName>
    <definedName name="data">Data!$A$2:$BN$12</definedName>
    <definedName name="day">Data!$A$4:$W$12</definedName>
    <definedName name="_xlnm.Print_Area" localSheetId="6">Data!$A$1:$AT$13</definedName>
    <definedName name="_xlnm.Print_Area" localSheetId="1">Graphs!$A$1:$J$58</definedName>
    <definedName name="_xlnm.Print_Area" localSheetId="2">'Graphs %'!$A$1:$J$57</definedName>
    <definedName name="_xlnm.Print_Titles" localSheetId="6">Data!$A:$B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7" i="18" l="1"/>
  <c r="G49" i="18"/>
  <c r="G50" i="18"/>
  <c r="G51" i="18"/>
  <c r="G52" i="18"/>
  <c r="G53" i="18"/>
  <c r="G54" i="18"/>
  <c r="G55" i="18"/>
  <c r="G48" i="18"/>
  <c r="C62" i="17"/>
  <c r="B62" i="17"/>
  <c r="S20" i="4"/>
  <c r="A1" i="4" l="1"/>
  <c r="A1" i="18"/>
  <c r="A1" i="17"/>
  <c r="I29" i="4" l="1"/>
  <c r="J29" i="4"/>
  <c r="K29" i="4"/>
  <c r="L29" i="4"/>
  <c r="M29" i="4"/>
  <c r="N29" i="4"/>
  <c r="O29" i="4"/>
  <c r="P29" i="4"/>
  <c r="Q29" i="4"/>
  <c r="R29" i="4"/>
  <c r="H29" i="4"/>
  <c r="S21" i="4" l="1"/>
  <c r="T21" i="4" s="1"/>
  <c r="C6" i="4" s="1"/>
  <c r="S22" i="4"/>
  <c r="T22" i="4" s="1"/>
  <c r="C7" i="4" s="1"/>
  <c r="S23" i="4"/>
  <c r="T23" i="4" s="1"/>
  <c r="C8" i="4" s="1"/>
  <c r="S24" i="4"/>
  <c r="T24" i="4" s="1"/>
  <c r="C9" i="4" s="1"/>
  <c r="S25" i="4"/>
  <c r="T25" i="4" s="1"/>
  <c r="C10" i="4" s="1"/>
  <c r="S26" i="4"/>
  <c r="T26" i="4" s="1"/>
  <c r="C11" i="4" s="1"/>
  <c r="S27" i="4"/>
  <c r="T27" i="4" s="1"/>
  <c r="C12" i="4" s="1"/>
  <c r="T20" i="4"/>
  <c r="C5" i="4" s="1"/>
  <c r="F55" i="17" l="1"/>
  <c r="K10" i="4"/>
  <c r="S10" i="4"/>
  <c r="L10" i="4"/>
  <c r="T10" i="4"/>
  <c r="E10" i="4"/>
  <c r="M10" i="4"/>
  <c r="U10" i="4"/>
  <c r="F10" i="4"/>
  <c r="N10" i="4"/>
  <c r="V10" i="4"/>
  <c r="G10" i="4"/>
  <c r="O10" i="4"/>
  <c r="W10" i="4"/>
  <c r="H10" i="4"/>
  <c r="P10" i="4"/>
  <c r="I10" i="4"/>
  <c r="Q10" i="4"/>
  <c r="J10" i="4"/>
  <c r="R10" i="4"/>
  <c r="D10" i="4"/>
  <c r="F54" i="17"/>
  <c r="F9" i="4"/>
  <c r="N9" i="4"/>
  <c r="V9" i="4"/>
  <c r="G9" i="4"/>
  <c r="O9" i="4"/>
  <c r="W9" i="4"/>
  <c r="H9" i="4"/>
  <c r="P9" i="4"/>
  <c r="I9" i="4"/>
  <c r="Q9" i="4"/>
  <c r="J9" i="4"/>
  <c r="R9" i="4"/>
  <c r="K9" i="4"/>
  <c r="S9" i="4"/>
  <c r="L9" i="4"/>
  <c r="T9" i="4"/>
  <c r="D9" i="4"/>
  <c r="E9" i="4"/>
  <c r="M9" i="4"/>
  <c r="U9" i="4"/>
  <c r="F50" i="17"/>
  <c r="J5" i="4"/>
  <c r="R5" i="4"/>
  <c r="K5" i="4"/>
  <c r="S5" i="4"/>
  <c r="L5" i="4"/>
  <c r="T5" i="4"/>
  <c r="D5" i="4"/>
  <c r="E5" i="4"/>
  <c r="M5" i="4"/>
  <c r="U5" i="4"/>
  <c r="F5" i="4"/>
  <c r="N5" i="4"/>
  <c r="V5" i="4"/>
  <c r="G5" i="4"/>
  <c r="O5" i="4"/>
  <c r="W5" i="4"/>
  <c r="H5" i="4"/>
  <c r="P5" i="4"/>
  <c r="I5" i="4"/>
  <c r="Q5" i="4"/>
  <c r="F53" i="17"/>
  <c r="I8" i="4"/>
  <c r="Q8" i="4"/>
  <c r="J8" i="4"/>
  <c r="R8" i="4"/>
  <c r="K8" i="4"/>
  <c r="S8" i="4"/>
  <c r="L8" i="4"/>
  <c r="T8" i="4"/>
  <c r="E8" i="4"/>
  <c r="M8" i="4"/>
  <c r="U8" i="4"/>
  <c r="F8" i="4"/>
  <c r="N8" i="4"/>
  <c r="V8" i="4"/>
  <c r="D8" i="4"/>
  <c r="G8" i="4"/>
  <c r="O8" i="4"/>
  <c r="W8" i="4"/>
  <c r="H8" i="4"/>
  <c r="P8" i="4"/>
  <c r="F57" i="17"/>
  <c r="E12" i="4"/>
  <c r="M12" i="4"/>
  <c r="F12" i="4"/>
  <c r="N12" i="4"/>
  <c r="V12" i="4"/>
  <c r="D12" i="4"/>
  <c r="G12" i="4"/>
  <c r="O12" i="4"/>
  <c r="W12" i="4"/>
  <c r="H12" i="4"/>
  <c r="P12" i="4"/>
  <c r="I12" i="4"/>
  <c r="Q12" i="4"/>
  <c r="J12" i="4"/>
  <c r="R12" i="4"/>
  <c r="K12" i="4"/>
  <c r="S12" i="4"/>
  <c r="L12" i="4"/>
  <c r="T12" i="4"/>
  <c r="U12" i="4"/>
  <c r="F52" i="17"/>
  <c r="L7" i="4"/>
  <c r="T7" i="4"/>
  <c r="E7" i="4"/>
  <c r="M7" i="4"/>
  <c r="U7" i="4"/>
  <c r="F7" i="4"/>
  <c r="N7" i="4"/>
  <c r="V7" i="4"/>
  <c r="G7" i="4"/>
  <c r="O7" i="4"/>
  <c r="W7" i="4"/>
  <c r="H7" i="4"/>
  <c r="P7" i="4"/>
  <c r="D7" i="4"/>
  <c r="I7" i="4"/>
  <c r="Q7" i="4"/>
  <c r="J7" i="4"/>
  <c r="R7" i="4"/>
  <c r="K7" i="4"/>
  <c r="S7" i="4"/>
  <c r="F56" i="17"/>
  <c r="H11" i="4"/>
  <c r="P11" i="4"/>
  <c r="I11" i="4"/>
  <c r="Q11" i="4"/>
  <c r="J11" i="4"/>
  <c r="R11" i="4"/>
  <c r="K11" i="4"/>
  <c r="S11" i="4"/>
  <c r="L11" i="4"/>
  <c r="T11" i="4"/>
  <c r="E11" i="4"/>
  <c r="M11" i="4"/>
  <c r="U11" i="4"/>
  <c r="F11" i="4"/>
  <c r="N11" i="4"/>
  <c r="V11" i="4"/>
  <c r="D11" i="4"/>
  <c r="G11" i="4"/>
  <c r="O11" i="4"/>
  <c r="W11" i="4"/>
  <c r="F51" i="17"/>
  <c r="G6" i="4"/>
  <c r="O6" i="4"/>
  <c r="W6" i="4"/>
  <c r="H6" i="4"/>
  <c r="P6" i="4"/>
  <c r="I6" i="4"/>
  <c r="Q6" i="4"/>
  <c r="J6" i="4"/>
  <c r="R6" i="4"/>
  <c r="D6" i="4"/>
  <c r="K6" i="4"/>
  <c r="S6" i="4"/>
  <c r="L6" i="4"/>
  <c r="T6" i="4"/>
  <c r="E6" i="4"/>
  <c r="M6" i="4"/>
  <c r="U6" i="4"/>
  <c r="F6" i="4"/>
  <c r="N6" i="4"/>
  <c r="V6" i="4"/>
  <c r="L3" i="18"/>
  <c r="K5" i="18" s="1"/>
  <c r="L3" i="17"/>
  <c r="K5" i="17" s="1"/>
  <c r="AH6" i="4"/>
  <c r="AI6" i="4"/>
  <c r="AJ6" i="4"/>
  <c r="AK6" i="4"/>
  <c r="AL6" i="4"/>
  <c r="AM6" i="4"/>
  <c r="AN6" i="4"/>
  <c r="AO6" i="4"/>
  <c r="AP6" i="4"/>
  <c r="AQ6" i="4"/>
  <c r="AR6" i="4"/>
  <c r="AS6" i="4"/>
  <c r="AA6" i="4"/>
  <c r="AB6" i="4"/>
  <c r="AC6" i="4"/>
  <c r="AD6" i="4"/>
  <c r="AE6" i="4"/>
  <c r="AF6" i="4"/>
  <c r="AG6" i="4"/>
  <c r="AS5" i="4"/>
  <c r="AA5" i="4"/>
  <c r="AB5" i="4"/>
  <c r="AC5" i="4"/>
  <c r="AD5" i="4"/>
  <c r="AE5" i="4"/>
  <c r="AF5" i="4"/>
  <c r="AG5" i="4"/>
  <c r="AH5" i="4"/>
  <c r="AI5" i="4"/>
  <c r="AJ5" i="4"/>
  <c r="AK5" i="4"/>
  <c r="AL5" i="4"/>
  <c r="AM5" i="4"/>
  <c r="AN5" i="4"/>
  <c r="AO5" i="4"/>
  <c r="AP5" i="4"/>
  <c r="AQ5" i="4"/>
  <c r="AR5" i="4"/>
  <c r="AQ7" i="4"/>
  <c r="AR7" i="4"/>
  <c r="AS7" i="4"/>
  <c r="AQ8" i="4"/>
  <c r="AR8" i="4"/>
  <c r="AS8" i="4"/>
  <c r="AQ9" i="4"/>
  <c r="AR9" i="4"/>
  <c r="AS9" i="4"/>
  <c r="AQ10" i="4"/>
  <c r="AR10" i="4"/>
  <c r="AS10" i="4"/>
  <c r="AQ11" i="4"/>
  <c r="AR11" i="4"/>
  <c r="AS11" i="4"/>
  <c r="AQ12" i="4"/>
  <c r="AR12" i="4"/>
  <c r="AS12" i="4"/>
  <c r="Z5" i="4"/>
  <c r="AA12" i="4"/>
  <c r="AB12" i="4"/>
  <c r="AC12" i="4"/>
  <c r="AD12" i="4"/>
  <c r="AE12" i="4"/>
  <c r="AF12" i="4"/>
  <c r="AG12" i="4"/>
  <c r="AH12" i="4"/>
  <c r="AI12" i="4"/>
  <c r="AJ12" i="4"/>
  <c r="AK12" i="4"/>
  <c r="AL12" i="4"/>
  <c r="AM12" i="4"/>
  <c r="AN12" i="4"/>
  <c r="AO12" i="4"/>
  <c r="AP12" i="4"/>
  <c r="Z12" i="4"/>
  <c r="AA11" i="4"/>
  <c r="AB11" i="4"/>
  <c r="AC11" i="4"/>
  <c r="AD11" i="4"/>
  <c r="AE11" i="4"/>
  <c r="AF11" i="4"/>
  <c r="AG11" i="4"/>
  <c r="AH11" i="4"/>
  <c r="AI11" i="4"/>
  <c r="AJ11" i="4"/>
  <c r="AK11" i="4"/>
  <c r="AL11" i="4"/>
  <c r="AM11" i="4"/>
  <c r="AN11" i="4"/>
  <c r="AO11" i="4"/>
  <c r="AP11" i="4"/>
  <c r="Z11" i="4"/>
  <c r="AA10" i="4"/>
  <c r="AB10" i="4"/>
  <c r="AC10" i="4"/>
  <c r="AD10" i="4"/>
  <c r="AE10" i="4"/>
  <c r="AF10" i="4"/>
  <c r="AG10" i="4"/>
  <c r="AH10" i="4"/>
  <c r="AI10" i="4"/>
  <c r="AJ10" i="4"/>
  <c r="AK10" i="4"/>
  <c r="AL10" i="4"/>
  <c r="AM10" i="4"/>
  <c r="AN10" i="4"/>
  <c r="AO10" i="4"/>
  <c r="AP10" i="4"/>
  <c r="Z10" i="4"/>
  <c r="AA9" i="4"/>
  <c r="AB9" i="4"/>
  <c r="AC9" i="4"/>
  <c r="AD9" i="4"/>
  <c r="AE9" i="4"/>
  <c r="AF9" i="4"/>
  <c r="AG9" i="4"/>
  <c r="AH9" i="4"/>
  <c r="AI9" i="4"/>
  <c r="AJ9" i="4"/>
  <c r="AK9" i="4"/>
  <c r="AL9" i="4"/>
  <c r="AM9" i="4"/>
  <c r="AN9" i="4"/>
  <c r="AO9" i="4"/>
  <c r="AP9" i="4"/>
  <c r="Z9" i="4"/>
  <c r="AA8" i="4"/>
  <c r="AB8" i="4"/>
  <c r="AC8" i="4"/>
  <c r="AD8" i="4"/>
  <c r="AE8" i="4"/>
  <c r="AF8" i="4"/>
  <c r="AG8" i="4"/>
  <c r="AH8" i="4"/>
  <c r="AI8" i="4"/>
  <c r="AJ8" i="4"/>
  <c r="AK8" i="4"/>
  <c r="AL8" i="4"/>
  <c r="AM8" i="4"/>
  <c r="AN8" i="4"/>
  <c r="AO8" i="4"/>
  <c r="AP8" i="4"/>
  <c r="Z8" i="4"/>
  <c r="AA7" i="4"/>
  <c r="AB7" i="4"/>
  <c r="AC7" i="4"/>
  <c r="AD7" i="4"/>
  <c r="AE7" i="4"/>
  <c r="AF7" i="4"/>
  <c r="AG7" i="4"/>
  <c r="AH7" i="4"/>
  <c r="AI7" i="4"/>
  <c r="AJ7" i="4"/>
  <c r="AK7" i="4"/>
  <c r="AL7" i="4"/>
  <c r="AM7" i="4"/>
  <c r="AN7" i="4"/>
  <c r="AO7" i="4"/>
  <c r="AP7" i="4"/>
  <c r="Z7" i="4"/>
  <c r="Z6" i="4"/>
  <c r="G49" i="17"/>
  <c r="B5" i="18"/>
  <c r="E59" i="18"/>
  <c r="F59" i="18" s="1"/>
  <c r="E63" i="17"/>
  <c r="F63" i="17" s="1"/>
  <c r="F49" i="17"/>
  <c r="K23" i="18" l="1"/>
  <c r="L23" i="18" s="1"/>
  <c r="L5" i="18"/>
  <c r="K24" i="18"/>
  <c r="L24" i="18" s="1"/>
  <c r="K22" i="18"/>
  <c r="L22" i="18" s="1"/>
  <c r="F49" i="18"/>
  <c r="H49" i="18" s="1"/>
  <c r="F50" i="18"/>
  <c r="H50" i="18" s="1"/>
  <c r="F51" i="18"/>
  <c r="H51" i="18" s="1"/>
  <c r="F54" i="18"/>
  <c r="H54" i="18" s="1"/>
  <c r="F52" i="18"/>
  <c r="H52" i="18" s="1"/>
  <c r="F53" i="18"/>
  <c r="H53" i="18" s="1"/>
  <c r="F55" i="18"/>
  <c r="H55" i="18" s="1"/>
  <c r="F48" i="18"/>
  <c r="H48" i="18" s="1"/>
  <c r="G57" i="17"/>
  <c r="G50" i="17"/>
  <c r="G51" i="17"/>
  <c r="G52" i="17"/>
  <c r="G53" i="17"/>
  <c r="G54" i="17"/>
  <c r="G55" i="17"/>
  <c r="G56" i="17"/>
  <c r="K23" i="17"/>
  <c r="L23" i="17" s="1"/>
  <c r="L5" i="17"/>
  <c r="K24" i="17"/>
  <c r="L24" i="17" s="1"/>
  <c r="K22" i="17"/>
  <c r="L22" i="17" s="1"/>
  <c r="K14" i="17"/>
  <c r="L14" i="17" s="1"/>
  <c r="K13" i="17"/>
  <c r="L13" i="17" s="1"/>
  <c r="B7" i="17"/>
  <c r="K7" i="18"/>
  <c r="L7" i="18" s="1"/>
  <c r="K12" i="18"/>
  <c r="L12" i="18" s="1"/>
  <c r="K13" i="18"/>
  <c r="L13" i="18" s="1"/>
  <c r="K17" i="18"/>
  <c r="L17" i="18" s="1"/>
  <c r="K14" i="18"/>
  <c r="L14" i="18" s="1"/>
  <c r="K9" i="18"/>
  <c r="L9" i="18" s="1"/>
  <c r="K16" i="18"/>
  <c r="L16" i="18" s="1"/>
  <c r="K21" i="18"/>
  <c r="L21" i="18" s="1"/>
  <c r="K6" i="18"/>
  <c r="L6" i="18" s="1"/>
  <c r="K20" i="18"/>
  <c r="L20" i="18" s="1"/>
  <c r="K8" i="18"/>
  <c r="L8" i="18" s="1"/>
  <c r="K10" i="18"/>
  <c r="L10" i="18" s="1"/>
  <c r="K19" i="18"/>
  <c r="L19" i="18" s="1"/>
  <c r="K18" i="18"/>
  <c r="L18" i="18" s="1"/>
  <c r="K11" i="18"/>
  <c r="L11" i="18" s="1"/>
  <c r="K15" i="18"/>
  <c r="L15" i="18" s="1"/>
  <c r="K11" i="17"/>
  <c r="L11" i="17" s="1"/>
  <c r="K6" i="17"/>
  <c r="L6" i="17" s="1"/>
  <c r="K8" i="17"/>
  <c r="L8" i="17" s="1"/>
  <c r="K19" i="17"/>
  <c r="L19" i="17" s="1"/>
  <c r="K10" i="17"/>
  <c r="L10" i="17" s="1"/>
  <c r="K20" i="17"/>
  <c r="L20" i="17" s="1"/>
  <c r="K7" i="17"/>
  <c r="L7" i="17" s="1"/>
  <c r="K9" i="17"/>
  <c r="L9" i="17" s="1"/>
  <c r="K16" i="17"/>
  <c r="L16" i="17" s="1"/>
  <c r="K21" i="17"/>
  <c r="L21" i="17" s="1"/>
  <c r="K18" i="17"/>
  <c r="L18" i="17" s="1"/>
  <c r="K17" i="17"/>
  <c r="L17" i="17" s="1"/>
  <c r="K15" i="17"/>
  <c r="L15" i="17" s="1"/>
  <c r="K12" i="17"/>
  <c r="L12" i="17" s="1"/>
</calcChain>
</file>

<file path=xl/sharedStrings.xml><?xml version="1.0" encoding="utf-8"?>
<sst xmlns="http://schemas.openxmlformats.org/spreadsheetml/2006/main" count="784" uniqueCount="437">
  <si>
    <t>Admin</t>
  </si>
  <si>
    <t>Care Staff</t>
  </si>
  <si>
    <t>Electricity</t>
  </si>
  <si>
    <t>Gas</t>
  </si>
  <si>
    <t>Oil</t>
  </si>
  <si>
    <t>SEN TA</t>
  </si>
  <si>
    <t>TA</t>
  </si>
  <si>
    <t>Teachers</t>
  </si>
  <si>
    <t>Training</t>
  </si>
  <si>
    <t>Water Charges</t>
  </si>
  <si>
    <t>Supply Teachers inc Agency</t>
  </si>
  <si>
    <t>School name</t>
  </si>
  <si>
    <t>Maintenance</t>
  </si>
  <si>
    <t>Technicians</t>
  </si>
  <si>
    <t>Extended Services</t>
  </si>
  <si>
    <t>Caretaker costs</t>
  </si>
  <si>
    <t>Cleaning costs</t>
  </si>
  <si>
    <t>Cost Centre</t>
  </si>
  <si>
    <t>Name</t>
  </si>
  <si>
    <t>CIN1001</t>
  </si>
  <si>
    <t>Hadfield Nursery</t>
  </si>
  <si>
    <t>CIN1002</t>
  </si>
  <si>
    <t>Gamesley Early Ex C</t>
  </si>
  <si>
    <t>CIN1012</t>
  </si>
  <si>
    <t>New Mills Nursery</t>
  </si>
  <si>
    <t>CIN1013</t>
  </si>
  <si>
    <t>Ripley Nursery</t>
  </si>
  <si>
    <t>CIN1016</t>
  </si>
  <si>
    <t>Flagg Nursery School</t>
  </si>
  <si>
    <t>CIN1018</t>
  </si>
  <si>
    <t>Pinxton Nursery Sch</t>
  </si>
  <si>
    <t>CIN1019</t>
  </si>
  <si>
    <t>S Normanton Nursery</t>
  </si>
  <si>
    <t>CIN1020</t>
  </si>
  <si>
    <t>Alfreton Nursery Sch</t>
  </si>
  <si>
    <t>Pupil numbers</t>
  </si>
  <si>
    <t>Floor area m2</t>
  </si>
  <si>
    <t>pupil numberAdmin</t>
  </si>
  <si>
    <t>pupil numberCaretaker costs</t>
  </si>
  <si>
    <t>pupil numberCleaning costs</t>
  </si>
  <si>
    <t>pupil numberElectricity</t>
  </si>
  <si>
    <t>pupil numberGas</t>
  </si>
  <si>
    <t>pupil numberMaintenance</t>
  </si>
  <si>
    <t>pupil numberOil</t>
  </si>
  <si>
    <t>pupil numberSupply Teachers inc Agency</t>
  </si>
  <si>
    <t>pupil numberTA</t>
  </si>
  <si>
    <t>pupil numberTeachers</t>
  </si>
  <si>
    <t>pupil numberTraining</t>
  </si>
  <si>
    <t>pupil numberWater Charges</t>
  </si>
  <si>
    <t>pupil numberTechnicians</t>
  </si>
  <si>
    <t>pupil numberExtended Services</t>
  </si>
  <si>
    <t>floor area m2Admin</t>
  </si>
  <si>
    <t>floor area m2Caretaker costs</t>
  </si>
  <si>
    <t>floor area m2Cleaning costs</t>
  </si>
  <si>
    <t>floor area m2Electricity</t>
  </si>
  <si>
    <t>floor area m2Gas</t>
  </si>
  <si>
    <t>floor area m2Maintenance</t>
  </si>
  <si>
    <t>floor area m2Oil</t>
  </si>
  <si>
    <t>floor area m2Supply Teachers inc Agency</t>
  </si>
  <si>
    <t>floor area m2TA</t>
  </si>
  <si>
    <t>floor area m2Teachers</t>
  </si>
  <si>
    <t>floor area m2Training</t>
  </si>
  <si>
    <t>floor area m2Water Charges</t>
  </si>
  <si>
    <t>floor area m2Technicians</t>
  </si>
  <si>
    <t>floor area m2Extended Services</t>
  </si>
  <si>
    <t>%</t>
  </si>
  <si>
    <t>per pupil</t>
  </si>
  <si>
    <t>per m2</t>
  </si>
  <si>
    <t>Ancillary Staff</t>
  </si>
  <si>
    <t xml:space="preserve">Catering Staff </t>
  </si>
  <si>
    <t>Midday Supervisors</t>
  </si>
  <si>
    <t>Printing &amp; Stationery</t>
  </si>
  <si>
    <t>pupil numberAncillary Staff</t>
  </si>
  <si>
    <t>pupil numberCare Staff</t>
  </si>
  <si>
    <t xml:space="preserve">pupil numberCatering Staff </t>
  </si>
  <si>
    <t>pupil numberMidday Supervisors</t>
  </si>
  <si>
    <t>pupil numberPrinting &amp; Stationery</t>
  </si>
  <si>
    <t>floor area m2Ancillary Staff</t>
  </si>
  <si>
    <t>floor area m2Care Staff</t>
  </si>
  <si>
    <t xml:space="preserve">floor area m2Catering Staff </t>
  </si>
  <si>
    <t>floor area m2Midday Supervisors</t>
  </si>
  <si>
    <t>floor area m2Printing &amp; Stationery</t>
  </si>
  <si>
    <t>Category</t>
  </si>
  <si>
    <t>Codes included</t>
  </si>
  <si>
    <t xml:space="preserve">   110900  General Basic Pay</t>
  </si>
  <si>
    <t xml:space="preserve">   110901  General Nat Ins</t>
  </si>
  <si>
    <t xml:space="preserve">   110902  General Pension</t>
  </si>
  <si>
    <t xml:space="preserve">   110905  General Overtime</t>
  </si>
  <si>
    <t xml:space="preserve">   110915  General Allowances</t>
  </si>
  <si>
    <t xml:space="preserve">   112500  Gen - Non SS BP</t>
  </si>
  <si>
    <t xml:space="preserve">   112501  Gen - Non SS NI</t>
  </si>
  <si>
    <t xml:space="preserve">   112502  Gen - Non SS Pen</t>
  </si>
  <si>
    <t xml:space="preserve">   112505  Gen - Non SS OT</t>
  </si>
  <si>
    <t xml:space="preserve">   112506  Gen - Non SS Relief</t>
  </si>
  <si>
    <t xml:space="preserve">   112515  Gen - Non SS Allow</t>
  </si>
  <si>
    <t xml:space="preserve">   110100  Ancillary Basic Pay</t>
  </si>
  <si>
    <t xml:space="preserve">   110101  Ancillary Nat Ins</t>
  </si>
  <si>
    <t xml:space="preserve">   110102  Ancillary Pension</t>
  </si>
  <si>
    <t xml:space="preserve">   110105  Ancillary Overtime</t>
  </si>
  <si>
    <t xml:space="preserve">   110106  Ancillary Relief</t>
  </si>
  <si>
    <t xml:space="preserve">   110115  Ancillary Allow</t>
  </si>
  <si>
    <t xml:space="preserve">   110200  Care Staff Basic Pa</t>
  </si>
  <si>
    <t xml:space="preserve">   110201  Care Staff Nat Ins</t>
  </si>
  <si>
    <t xml:space="preserve">   110202  Care Staff Pension</t>
  </si>
  <si>
    <t xml:space="preserve">   110205  Care Staff Overtime</t>
  </si>
  <si>
    <t xml:space="preserve">   110215  Care Stf Allow</t>
  </si>
  <si>
    <t xml:space="preserve">   110300  C/tkers Basic Pay</t>
  </si>
  <si>
    <t xml:space="preserve">   110301  C/tkers Nat Ins</t>
  </si>
  <si>
    <t xml:space="preserve">   110302  C/tkers Pension</t>
  </si>
  <si>
    <t xml:space="preserve">   110305  C/tkers O/Time</t>
  </si>
  <si>
    <t xml:space="preserve">   110315  C/tkers Allows</t>
  </si>
  <si>
    <t xml:space="preserve">   110600  C/tkers Non-DLO BP</t>
  </si>
  <si>
    <t xml:space="preserve">   110601  C/tkers Non-DLO NI</t>
  </si>
  <si>
    <t xml:space="preserve">   110602  C/tkers Non-DLO Pen</t>
  </si>
  <si>
    <t xml:space="preserve">   110605  C/tkers Non-DLO OT</t>
  </si>
  <si>
    <t xml:space="preserve">   110606  C/tkers Non-DLO Rel</t>
  </si>
  <si>
    <t xml:space="preserve">   110615  C/tkers Non-DLO All</t>
  </si>
  <si>
    <t xml:space="preserve">   112600  Craft Basic Pay</t>
  </si>
  <si>
    <t xml:space="preserve">   112601  Craft Nat Ins</t>
  </si>
  <si>
    <t xml:space="preserve">   112602  Craft Pension</t>
  </si>
  <si>
    <t xml:space="preserve">   112605  Craft Overtime</t>
  </si>
  <si>
    <t xml:space="preserve">   112615  Craft Allowances</t>
  </si>
  <si>
    <t xml:space="preserve">   317040  Grounds Non CCont</t>
  </si>
  <si>
    <t xml:space="preserve">   319060  Building Grounds</t>
  </si>
  <si>
    <t xml:space="preserve">   110400  Catering Basic Pay</t>
  </si>
  <si>
    <t xml:space="preserve">   110401  Catering Nat Ins</t>
  </si>
  <si>
    <t xml:space="preserve">   110402  Catering Pension</t>
  </si>
  <si>
    <t xml:space="preserve">   110405  Catering O/Time</t>
  </si>
  <si>
    <t xml:space="preserve">   110406  Catering Stf Relief</t>
  </si>
  <si>
    <t xml:space="preserve">   110415  Catering Allows</t>
  </si>
  <si>
    <t xml:space="preserve">   110500  Cleaners Basic Pay</t>
  </si>
  <si>
    <t xml:space="preserve">   110501  Cleaners Nat Ins</t>
  </si>
  <si>
    <t xml:space="preserve">   110502  Cleaners Pension</t>
  </si>
  <si>
    <t xml:space="preserve">   110505  Cleaners O/Time</t>
  </si>
  <si>
    <t xml:space="preserve">   110515  Cleaners Allows</t>
  </si>
  <si>
    <t xml:space="preserve">   110800  Cleaners Non-DLO BP</t>
  </si>
  <si>
    <t xml:space="preserve">   110801  Cleaners Non-DLO NI</t>
  </si>
  <si>
    <t xml:space="preserve">   110802  Cleaners Non-DLO Pe</t>
  </si>
  <si>
    <t xml:space="preserve">   110805  Cleaners Non-DLO OT</t>
  </si>
  <si>
    <t xml:space="preserve">   110806  Cleaners Non-DLO Re</t>
  </si>
  <si>
    <t xml:space="preserve">   110815  Cleaners Non-DLO Al</t>
  </si>
  <si>
    <t xml:space="preserve">   317030  Cleaning Non CCont</t>
  </si>
  <si>
    <t xml:space="preserve">   319050  Building Cleaning</t>
  </si>
  <si>
    <t>Cover supervisors</t>
  </si>
  <si>
    <t xml:space="preserve">   111400  Cover suprs. Pay</t>
  </si>
  <si>
    <t xml:space="preserve">   111401  Cover Supr's Nat In</t>
  </si>
  <si>
    <t xml:space="preserve">   111402  Cover Supr's Pensio</t>
  </si>
  <si>
    <t xml:space="preserve">   111405  Cover Supr's O/Time</t>
  </si>
  <si>
    <t xml:space="preserve">   111415  Cover Supr's Allows</t>
  </si>
  <si>
    <t xml:space="preserve">   121030  Electricity</t>
  </si>
  <si>
    <t xml:space="preserve">   111500  Extended Act Basic</t>
  </si>
  <si>
    <t xml:space="preserve">   111501  Extended Act Nat In</t>
  </si>
  <si>
    <t xml:space="preserve">   111502  Extended Act Pensio</t>
  </si>
  <si>
    <t xml:space="preserve">   111505  Extended Act O/Time</t>
  </si>
  <si>
    <t xml:space="preserve">   111506  Extended Act Relief</t>
  </si>
  <si>
    <t xml:space="preserve">   111515  Extended Act Allows</t>
  </si>
  <si>
    <t xml:space="preserve">   121020  Gas</t>
  </si>
  <si>
    <t>Invigilators</t>
  </si>
  <si>
    <t xml:space="preserve">   111300  Invigilators Pay</t>
  </si>
  <si>
    <t xml:space="preserve">   111301  Invigilators Nat In</t>
  </si>
  <si>
    <t xml:space="preserve">   111302  Invigilators Pensio</t>
  </si>
  <si>
    <t xml:space="preserve">   111305  Invigilators O/Time</t>
  </si>
  <si>
    <t xml:space="preserve">   111306  Invigilators Relief</t>
  </si>
  <si>
    <t xml:space="preserve">   111315  Invigilators Allows</t>
  </si>
  <si>
    <t xml:space="preserve">   140210  Learn resrce non IC</t>
  </si>
  <si>
    <t xml:space="preserve">   143030  Books</t>
  </si>
  <si>
    <t xml:space="preserve">   120010  Build - Minor Impro</t>
  </si>
  <si>
    <t xml:space="preserve">   120040  Premises Repair/Mtc</t>
  </si>
  <si>
    <t xml:space="preserve">   140060  Build Mtce &amp; Improv</t>
  </si>
  <si>
    <t xml:space="preserve">   315702  IMP</t>
  </si>
  <si>
    <t xml:space="preserve">   317010  Prop'ty repairs/Mtc</t>
  </si>
  <si>
    <t xml:space="preserve">   317012  Property package co</t>
  </si>
  <si>
    <t xml:space="preserve">   319000  Mtce – DSO - Corp</t>
  </si>
  <si>
    <t xml:space="preserve">   111100  Midday Super Bsc Pa</t>
  </si>
  <si>
    <t xml:space="preserve">   111101  Midday Super Nat In</t>
  </si>
  <si>
    <t xml:space="preserve">   111102  Midday Super Pensio</t>
  </si>
  <si>
    <t xml:space="preserve">   111105  Midday Super O/Time</t>
  </si>
  <si>
    <t xml:space="preserve">   111106  M-day Supervis Rel</t>
  </si>
  <si>
    <t xml:space="preserve">   111115  M-day Supervis Allo</t>
  </si>
  <si>
    <t>Printing and Stationery</t>
  </si>
  <si>
    <t xml:space="preserve">   143000  Printing/Stationery</t>
  </si>
  <si>
    <t xml:space="preserve">   143010  Admin P and S</t>
  </si>
  <si>
    <t xml:space="preserve">   121010  Oil</t>
  </si>
  <si>
    <t xml:space="preserve">   111700  SpNd Tch Ass't Bpay</t>
  </si>
  <si>
    <t xml:space="preserve">   111701  SpNd Tch Ass't N In</t>
  </si>
  <si>
    <t xml:space="preserve">   111702  SpNd Tch Ass't Pens</t>
  </si>
  <si>
    <t xml:space="preserve">   111705  SpNd Tch Ass't O/Ti</t>
  </si>
  <si>
    <t xml:space="preserve">   111706  SN T Assists Relief</t>
  </si>
  <si>
    <t xml:space="preserve">   111715  SpNd Tch Ass't Allo</t>
  </si>
  <si>
    <t>Solid Fuels</t>
  </si>
  <si>
    <t xml:space="preserve">   121000  Solid Fuels</t>
  </si>
  <si>
    <t xml:space="preserve">   112400  Sup Tch's Basic Pay</t>
  </si>
  <si>
    <t xml:space="preserve">   112401  Sup Tch's Nat Ins</t>
  </si>
  <si>
    <t xml:space="preserve">   112402  Sup Tch's Pension</t>
  </si>
  <si>
    <t xml:space="preserve">   112406  Sup Tch's Relief</t>
  </si>
  <si>
    <t xml:space="preserve">   112415  Sup Tch's Allows</t>
  </si>
  <si>
    <t xml:space="preserve">   116220  Teach Ag'y Sk Cvr</t>
  </si>
  <si>
    <t xml:space="preserve">   116240  Teach Ag'y Cvr - Ge</t>
  </si>
  <si>
    <t xml:space="preserve">   116270  Ag'y Pay - Sk Pool</t>
  </si>
  <si>
    <t xml:space="preserve">   111900  Tch Ass't Basic Pay</t>
  </si>
  <si>
    <t xml:space="preserve">   111901  Tch Ass't Nat Ins</t>
  </si>
  <si>
    <t xml:space="preserve">   111902  Tch Ass't Pension</t>
  </si>
  <si>
    <t xml:space="preserve">   111905  Tch Ass't Overtime</t>
  </si>
  <si>
    <t xml:space="preserve">   111906  Tch Ass't Relief</t>
  </si>
  <si>
    <t xml:space="preserve">   111915  Tch Ass't Allows</t>
  </si>
  <si>
    <t xml:space="preserve">   111800  Teachers Basic Pay</t>
  </si>
  <si>
    <t xml:space="preserve">   111801  Teachers Nat Ins</t>
  </si>
  <si>
    <t xml:space="preserve">   111802  Teachers Pension</t>
  </si>
  <si>
    <t xml:space="preserve">   111805  Teachers Overtime</t>
  </si>
  <si>
    <t xml:space="preserve">   111806  Teachers Relief</t>
  </si>
  <si>
    <t xml:space="preserve">   111815  Teachers Allowances</t>
  </si>
  <si>
    <t xml:space="preserve">   112000  Technician Basic Pa</t>
  </si>
  <si>
    <t xml:space="preserve">   112001  Technician Nat Ins</t>
  </si>
  <si>
    <t xml:space="preserve">   112002  Technician Pension</t>
  </si>
  <si>
    <t xml:space="preserve">   112005  Technician O/Time</t>
  </si>
  <si>
    <t xml:space="preserve">   112006  Technicians Relief</t>
  </si>
  <si>
    <t xml:space="preserve">   112015  Technicians Allow</t>
  </si>
  <si>
    <t xml:space="preserve">   118300  Training</t>
  </si>
  <si>
    <t xml:space="preserve">   313220  Training courses</t>
  </si>
  <si>
    <t xml:space="preserve">   313380 Advisory Course</t>
  </si>
  <si>
    <t xml:space="preserve">   315190 Generic L &amp; D</t>
  </si>
  <si>
    <t xml:space="preserve">   124000  Water Charges</t>
  </si>
  <si>
    <t>Admin1</t>
  </si>
  <si>
    <t>Admin2</t>
  </si>
  <si>
    <t>Admin3</t>
  </si>
  <si>
    <t>Admin4</t>
  </si>
  <si>
    <t>Admin5</t>
  </si>
  <si>
    <t>Admin6</t>
  </si>
  <si>
    <t>Admin7</t>
  </si>
  <si>
    <t>Admin8</t>
  </si>
  <si>
    <t>Admin9</t>
  </si>
  <si>
    <t>Admin10</t>
  </si>
  <si>
    <t>Ancillary Staff1</t>
  </si>
  <si>
    <t>Ancillary Staff2</t>
  </si>
  <si>
    <t>Ancillary Staff3</t>
  </si>
  <si>
    <t>Ancillary Staff4</t>
  </si>
  <si>
    <t>Ancillary Staff5</t>
  </si>
  <si>
    <t>Care Staff1</t>
  </si>
  <si>
    <t>Care Staff2</t>
  </si>
  <si>
    <t>Care Staff3</t>
  </si>
  <si>
    <t>Care Staff4</t>
  </si>
  <si>
    <t>Caretaker costs1</t>
  </si>
  <si>
    <t>Caretaker costs2</t>
  </si>
  <si>
    <t>Caretaker costs3</t>
  </si>
  <si>
    <t>Caretaker costs4</t>
  </si>
  <si>
    <t>Caretaker costs5</t>
  </si>
  <si>
    <t>Caretaker costs6</t>
  </si>
  <si>
    <t>Caretaker costs7</t>
  </si>
  <si>
    <t>Caretaker costs8</t>
  </si>
  <si>
    <t>Caretaker costs9</t>
  </si>
  <si>
    <t>Caretaker costs10</t>
  </si>
  <si>
    <t>Caretaker costs11</t>
  </si>
  <si>
    <t>Caretaker costs12</t>
  </si>
  <si>
    <t>Caretaker costs13</t>
  </si>
  <si>
    <t>Caretaker costs14</t>
  </si>
  <si>
    <t>Caretaker costs15</t>
  </si>
  <si>
    <t>Caretaker costs16</t>
  </si>
  <si>
    <t>Caretaker costs17</t>
  </si>
  <si>
    <t>Catering Staff 1</t>
  </si>
  <si>
    <t>Catering Staff 2</t>
  </si>
  <si>
    <t>Catering Staff 3</t>
  </si>
  <si>
    <t>Catering Staff 4</t>
  </si>
  <si>
    <t>Catering Staff 5</t>
  </si>
  <si>
    <t>Cleaning costs1</t>
  </si>
  <si>
    <t>Cleaning costs2</t>
  </si>
  <si>
    <t>Cleaning costs3</t>
  </si>
  <si>
    <t>Cleaning costs4</t>
  </si>
  <si>
    <t>Cleaning costs5</t>
  </si>
  <si>
    <t>Cleaning costs6</t>
  </si>
  <si>
    <t>Cleaning costs7</t>
  </si>
  <si>
    <t>Cleaning costs8</t>
  </si>
  <si>
    <t>Cleaning costs9</t>
  </si>
  <si>
    <t>Cleaning costs10</t>
  </si>
  <si>
    <t>Cleaning costs11</t>
  </si>
  <si>
    <t>Cleaning costs12</t>
  </si>
  <si>
    <t>Cover supervisors1</t>
  </si>
  <si>
    <t>Cover supervisors2</t>
  </si>
  <si>
    <t>Cover supervisors3</t>
  </si>
  <si>
    <t>Cover supervisors4</t>
  </si>
  <si>
    <t>Extended Services1</t>
  </si>
  <si>
    <t>Extended Services2</t>
  </si>
  <si>
    <t>Extended Services3</t>
  </si>
  <si>
    <t>Extended Services4</t>
  </si>
  <si>
    <t>Extended Services5</t>
  </si>
  <si>
    <t>Invigilators1</t>
  </si>
  <si>
    <t>Invigilators2</t>
  </si>
  <si>
    <t>Invigilators3</t>
  </si>
  <si>
    <t>Invigilators4</t>
  </si>
  <si>
    <t>Invigilators5</t>
  </si>
  <si>
    <t>Maintenance1</t>
  </si>
  <si>
    <t>Maintenance2</t>
  </si>
  <si>
    <t>Maintenance3</t>
  </si>
  <si>
    <t>Maintenance4</t>
  </si>
  <si>
    <t>Maintenance5</t>
  </si>
  <si>
    <t>Maintenance6</t>
  </si>
  <si>
    <t>Midday Supervisors1</t>
  </si>
  <si>
    <t>Midday Supervisors2</t>
  </si>
  <si>
    <t>Midday Supervisors3</t>
  </si>
  <si>
    <t>Midday Supervisors4</t>
  </si>
  <si>
    <t>Midday Supervisors5</t>
  </si>
  <si>
    <t>Printing &amp; Stationery1</t>
  </si>
  <si>
    <t>SEN TA1</t>
  </si>
  <si>
    <t>SEN TA2</t>
  </si>
  <si>
    <t>SEN TA3</t>
  </si>
  <si>
    <t>SEN TA4</t>
  </si>
  <si>
    <t>SEN TA5</t>
  </si>
  <si>
    <t>Supply Teachers inc Agency1</t>
  </si>
  <si>
    <t>Supply Teachers inc Agency2</t>
  </si>
  <si>
    <t>Supply Teachers inc Agency3</t>
  </si>
  <si>
    <t>Supply Teachers inc Agency4</t>
  </si>
  <si>
    <t>Supply Teachers inc Agency5</t>
  </si>
  <si>
    <t>Supply Teachers inc Agency6</t>
  </si>
  <si>
    <t>Supply Teachers inc Agency7</t>
  </si>
  <si>
    <t>TA1</t>
  </si>
  <si>
    <t>TA2</t>
  </si>
  <si>
    <t>TA3</t>
  </si>
  <si>
    <t>TA4</t>
  </si>
  <si>
    <t>TA5</t>
  </si>
  <si>
    <t>Teachers1</t>
  </si>
  <si>
    <t>Teachers2</t>
  </si>
  <si>
    <t>Teachers3</t>
  </si>
  <si>
    <t>Teachers4</t>
  </si>
  <si>
    <t>Teachers5</t>
  </si>
  <si>
    <t>Technicians1</t>
  </si>
  <si>
    <t>Technicians2</t>
  </si>
  <si>
    <t>Technicians3</t>
  </si>
  <si>
    <t>Technicians4</t>
  </si>
  <si>
    <t>Technicians5</t>
  </si>
  <si>
    <t>Training1</t>
  </si>
  <si>
    <t>Training2</t>
  </si>
  <si>
    <t>Training3</t>
  </si>
  <si>
    <t>Graphs</t>
  </si>
  <si>
    <t>Graphs %</t>
  </si>
  <si>
    <t>Utilities graph</t>
  </si>
  <si>
    <t>Teachers graph</t>
  </si>
  <si>
    <t>Support staff graphs</t>
  </si>
  <si>
    <t xml:space="preserve">   110910  General Sick</t>
  </si>
  <si>
    <t>Admin11</t>
  </si>
  <si>
    <t xml:space="preserve">   112510  Gen - Non SS SP</t>
  </si>
  <si>
    <t>Admin12</t>
  </si>
  <si>
    <t>Ancillary Staff6</t>
  </si>
  <si>
    <t xml:space="preserve">   110110  Ancillary SP</t>
  </si>
  <si>
    <t>Care Staff5</t>
  </si>
  <si>
    <t xml:space="preserve">   110210  Care Stf SP</t>
  </si>
  <si>
    <t>Caretaker costs18</t>
  </si>
  <si>
    <t xml:space="preserve">   110310  C/tkers DLO SP</t>
  </si>
  <si>
    <t>Caretaker costs19</t>
  </si>
  <si>
    <t xml:space="preserve">   110610  C/tkers Non-DLO SP</t>
  </si>
  <si>
    <t>Catering Staff 6</t>
  </si>
  <si>
    <t xml:space="preserve">   110410  Catering Stf SP</t>
  </si>
  <si>
    <t>Cleaning costs13</t>
  </si>
  <si>
    <t xml:space="preserve">   110510  Cleaners DLO SP</t>
  </si>
  <si>
    <t>Cleaning costs14</t>
  </si>
  <si>
    <t xml:space="preserve">   110810  Cleaners Non-DLO SP</t>
  </si>
  <si>
    <t>Cover supervisors5</t>
  </si>
  <si>
    <t xml:space="preserve">   111410  Cover Supr's SP</t>
  </si>
  <si>
    <t>Extended Services6</t>
  </si>
  <si>
    <t xml:space="preserve">   111510  Extended Act SP</t>
  </si>
  <si>
    <t>Invigilators6</t>
  </si>
  <si>
    <t xml:space="preserve">   111310  Invigilators SP</t>
  </si>
  <si>
    <t>Midday Supervisors6</t>
  </si>
  <si>
    <t xml:space="preserve">   111110  M-day Supervis SP</t>
  </si>
  <si>
    <t>SEN TA6</t>
  </si>
  <si>
    <t xml:space="preserve">   111715  SpNd Tch Ass't SP</t>
  </si>
  <si>
    <t xml:space="preserve">   112410  Sup Tch's SP</t>
  </si>
  <si>
    <t>TA6</t>
  </si>
  <si>
    <t xml:space="preserve">   111910  Tch Ass't SP</t>
  </si>
  <si>
    <t>Teachers6</t>
  </si>
  <si>
    <t xml:space="preserve">   111810  Teachers SP</t>
  </si>
  <si>
    <t>Technicians6</t>
  </si>
  <si>
    <t xml:space="preserve">   112010  Technicians SP</t>
  </si>
  <si>
    <t xml:space="preserve">   143040  Photocopiers</t>
  </si>
  <si>
    <t>Printing &amp; Stationery2</t>
  </si>
  <si>
    <t>Public</t>
  </si>
  <si>
    <t>Information on using the data:</t>
  </si>
  <si>
    <t>A list of SAP cost element codes which are included in the category can be found on the right.</t>
  </si>
  <si>
    <t>A table at the bottom of the page will list the values which populate the graph.</t>
  </si>
  <si>
    <t>A table at the bottom of the page will list the schools and values which populate the graph.</t>
  </si>
  <si>
    <t>Universal</t>
  </si>
  <si>
    <t>Extended</t>
  </si>
  <si>
    <t>Deprivation</t>
  </si>
  <si>
    <t>Summer</t>
  </si>
  <si>
    <t>Autumn</t>
  </si>
  <si>
    <t>Spring</t>
  </si>
  <si>
    <t>N</t>
  </si>
  <si>
    <t>CO</t>
  </si>
  <si>
    <t>BH</t>
  </si>
  <si>
    <t>AV</t>
  </si>
  <si>
    <t>BD</t>
  </si>
  <si>
    <t>CB</t>
  </si>
  <si>
    <t>TOTAL NURSERY</t>
  </si>
  <si>
    <t>UNIVERSAL</t>
  </si>
  <si>
    <t>HOURS</t>
  </si>
  <si>
    <t>EXTENDED</t>
  </si>
  <si>
    <t xml:space="preserve">TOTAL </t>
  </si>
  <si>
    <t>Divide by 38</t>
  </si>
  <si>
    <t>Divide by 25</t>
  </si>
  <si>
    <t>Formula</t>
  </si>
  <si>
    <t>Hadfield Nursery School</t>
  </si>
  <si>
    <t>Gamesley Early Excellence Centre</t>
  </si>
  <si>
    <t>New Mills Nursery School</t>
  </si>
  <si>
    <t>Ripley Nursery School</t>
  </si>
  <si>
    <t>Pinxton Nursery School</t>
  </si>
  <si>
    <t>South Normanton Nursery School</t>
  </si>
  <si>
    <t>Alfreton Nursery School</t>
  </si>
  <si>
    <t>•</t>
  </si>
  <si>
    <t>Select the type of expenditure you would like to compare (eg. Teachers, Electricity) by clicking in cell G3, this will bring up a drop down arrow to the right of the box, click this to bring up a list of categories to select.</t>
  </si>
  <si>
    <t xml:space="preserve">This graph shows expenditure on a chosen category as a percentage of total school expenditure for your school against </t>
  </si>
  <si>
    <t>Select the type of expenditure you would like to compare by clicking in cell G3, this will bring up a drop down arrow to the right of the box, click this to bring up a list of categories to select.</t>
  </si>
  <si>
    <t>This graph is pre-populated with utility costs per pupil, this includes water, electricity, gas, oil and solid fuel costs.</t>
  </si>
  <si>
    <t>This graph is pre-populated with Teaching costs per pupil, including supply and agency teaching costs.</t>
  </si>
  <si>
    <t>This graph is pre-populated with support staff costs per pupil, this includes all staff types except teaching.</t>
  </si>
  <si>
    <t>If you have any queries, please contact:</t>
  </si>
  <si>
    <t>karen.sellors@derbyshire.gov.uk</t>
  </si>
  <si>
    <t>This page will produce graphs showing expenditure for nursery schools.</t>
  </si>
  <si>
    <t>Next, select a comparator, this will allow you to benchmark your school against nursery schools based on pupil numbers or floor area. To select this, click in cell G5 and select from the drop down list.</t>
  </si>
  <si>
    <t>nursery schools in Derbyshire.</t>
  </si>
  <si>
    <t>This page benchmarks your school against other Derbyshire nursery schools.</t>
  </si>
  <si>
    <t>Pupil number</t>
  </si>
  <si>
    <t>PASTE IN FROM CFR INFO &gt; NURSERIES - DATA</t>
  </si>
  <si>
    <t>DO NOT OVERTYPE - THIS CALCULATES COST PER SQ METRE</t>
  </si>
  <si>
    <t>DO NOT OVERTYPE - THIS CALCULATES COST PER PUPIL</t>
  </si>
  <si>
    <t>N:\LMS\Formbud</t>
  </si>
  <si>
    <t>FORMBUD CALCS&gt; 6. FORMBUD FINAL &gt; NURSERY EYSFF tab</t>
  </si>
  <si>
    <t>Paste data from AU onwards</t>
  </si>
  <si>
    <t>Learning Resource Not ICT</t>
  </si>
  <si>
    <t>Learning Resource Not ICT1</t>
  </si>
  <si>
    <t>pupil numberLearning Resource Not ICT</t>
  </si>
  <si>
    <t>Options</t>
  </si>
  <si>
    <t xml:space="preserve">Please select the category you would like to compare:  </t>
  </si>
  <si>
    <t xml:space="preserve">Please select a comparator:  </t>
  </si>
  <si>
    <t>Total expenditure (£)</t>
  </si>
  <si>
    <t>Grand Total</t>
  </si>
  <si>
    <t>Cost elements included in:</t>
  </si>
  <si>
    <t>floor area m2Learning Resource Not ICT</t>
  </si>
  <si>
    <t>August 2025</t>
  </si>
  <si>
    <t>Nursery Schools Benchmarking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</si>
</sst>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18"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3"/>
      <color theme="1"/>
      <name val="Calibri"/>
      <family val="2"/>
      <scheme val="minor"/>
    </font>
    <font>
      <sz val="11"/>
      <name val="Calibri"/>
      <family val="2"/>
      <scheme val="minor"/>
    </font>
    <font>
      <sz val="10"/>
      <name val="Arial"/>
      <family val="2"/>
    </font>
    <font>
      <b/>
      <sz val="11"/>
      <name val="Calibri"/>
      <family val="2"/>
      <scheme val="minor"/>
    </font>
    <font>
      <b/>
      <sz val="11"/>
      <color indexed="10"/>
      <name val="Calibri"/>
      <family val="2"/>
      <scheme val="minor"/>
    </font>
    <font>
      <b/>
      <i/>
      <sz val="11"/>
      <color indexed="10"/>
      <name val="Calibri"/>
      <family val="2"/>
      <scheme val="minor"/>
    </font>
    <font>
      <i/>
      <sz val="11"/>
      <color indexed="10"/>
      <name val="Calibri"/>
      <family val="2"/>
      <scheme val="minor"/>
    </font>
    <font>
      <b/>
      <sz val="11"/>
      <color rgb="FFFF0000"/>
      <name val="Calibri"/>
      <family val="2"/>
      <scheme val="minor"/>
    </font>
    <font>
      <b/>
      <sz val="20"/>
      <color theme="1"/>
      <name val="Calibri"/>
      <family val="2"/>
      <scheme val="minor"/>
    </font>
    <font>
      <b/>
      <u/>
      <sz val="11"/>
      <color theme="1"/>
      <name val="Calibri"/>
      <family val="2"/>
      <scheme val="minor"/>
    </font>
    <font>
      <i/>
      <sz val="11"/>
      <color rgb="FFFF0000"/>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9" fillId="0" borderId="0"/>
    <xf numFmtId="4" fontId="9" fillId="0" borderId="0" applyFont="0" applyFill="0" applyBorder="0" applyAlignment="0" applyProtection="0"/>
  </cellStyleXfs>
  <cellXfs count="149">
    <xf numFmtId="0" fontId="0" fillId="0" borderId="0" xfId="0"/>
    <xf numFmtId="0" fontId="3" fillId="0" borderId="0" xfId="0" applyFont="1"/>
    <xf numFmtId="0" fontId="3" fillId="2" borderId="1" xfId="0" applyFont="1" applyFill="1" applyBorder="1" applyAlignment="1">
      <alignment horizontal="center" wrapText="1"/>
    </xf>
    <xf numFmtId="0" fontId="0" fillId="3" borderId="0" xfId="0" applyFill="1"/>
    <xf numFmtId="0" fontId="4" fillId="3" borderId="0" xfId="0" applyFont="1" applyFill="1" applyAlignment="1">
      <alignment horizontal="center"/>
    </xf>
    <xf numFmtId="0" fontId="4" fillId="0" borderId="0" xfId="0" applyFont="1" applyAlignment="1">
      <alignment horizontal="center"/>
    </xf>
    <xf numFmtId="0" fontId="0" fillId="3" borderId="0" xfId="0" applyFill="1" applyAlignment="1">
      <alignment horizontal="center"/>
    </xf>
    <xf numFmtId="0" fontId="0" fillId="3" borderId="0" xfId="0" applyFill="1" applyAlignment="1">
      <alignment horizontal="right"/>
    </xf>
    <xf numFmtId="0" fontId="3" fillId="3" borderId="0" xfId="0" applyFont="1" applyFill="1" applyProtection="1"/>
    <xf numFmtId="0" fontId="0" fillId="3" borderId="0" xfId="0" applyFill="1" applyProtection="1"/>
    <xf numFmtId="0" fontId="0" fillId="3" borderId="0" xfId="0" applyFill="1" applyAlignment="1" applyProtection="1">
      <alignment horizontal="right"/>
    </xf>
    <xf numFmtId="0" fontId="0" fillId="3" borderId="0" xfId="0" applyFill="1" applyAlignment="1" applyProtection="1">
      <alignment horizontal="center"/>
    </xf>
    <xf numFmtId="0" fontId="0" fillId="0" borderId="0" xfId="0" applyProtection="1"/>
    <xf numFmtId="3" fontId="0" fillId="3" borderId="0" xfId="0" applyNumberFormat="1" applyFill="1" applyBorder="1" applyAlignment="1" applyProtection="1">
      <alignment horizontal="center"/>
    </xf>
    <xf numFmtId="0" fontId="0" fillId="3" borderId="0" xfId="0" applyFill="1" applyBorder="1" applyProtection="1"/>
    <xf numFmtId="0" fontId="3" fillId="3" borderId="0" xfId="0" applyFont="1" applyFill="1" applyAlignment="1" applyProtection="1">
      <alignment horizontal="right"/>
    </xf>
    <xf numFmtId="0" fontId="0" fillId="0" borderId="0" xfId="0" applyFill="1"/>
    <xf numFmtId="4" fontId="0" fillId="0" borderId="0" xfId="0" applyNumberFormat="1" applyBorder="1" applyAlignment="1" applyProtection="1">
      <alignment horizontal="center"/>
    </xf>
    <xf numFmtId="0" fontId="0" fillId="0" borderId="0" xfId="0" applyAlignment="1">
      <alignment horizontal="center"/>
    </xf>
    <xf numFmtId="0" fontId="0" fillId="0" borderId="0" xfId="0" applyFill="1" applyBorder="1" applyProtection="1"/>
    <xf numFmtId="3" fontId="0" fillId="0" borderId="3" xfId="0" applyNumberFormat="1" applyFill="1" applyBorder="1" applyAlignment="1" applyProtection="1">
      <alignment horizontal="center"/>
    </xf>
    <xf numFmtId="0" fontId="0" fillId="0" borderId="5" xfId="0" applyFill="1" applyBorder="1" applyProtection="1"/>
    <xf numFmtId="3" fontId="0" fillId="0" borderId="4" xfId="0" applyNumberFormat="1" applyFill="1" applyBorder="1" applyAlignment="1" applyProtection="1">
      <alignment horizontal="center"/>
    </xf>
    <xf numFmtId="0" fontId="0" fillId="0" borderId="0" xfId="0" applyFont="1" applyFill="1" applyBorder="1" applyProtection="1"/>
    <xf numFmtId="0" fontId="0" fillId="0" borderId="6" xfId="0" applyBorder="1"/>
    <xf numFmtId="43" fontId="1" fillId="0" borderId="0" xfId="1" applyNumberFormat="1" applyFont="1" applyBorder="1"/>
    <xf numFmtId="43" fontId="1" fillId="0" borderId="7" xfId="1" applyNumberFormat="1" applyFont="1" applyBorder="1"/>
    <xf numFmtId="0" fontId="0" fillId="0" borderId="8" xfId="0" applyBorder="1"/>
    <xf numFmtId="43" fontId="1" fillId="0" borderId="5" xfId="1" applyNumberFormat="1" applyFont="1" applyBorder="1"/>
    <xf numFmtId="43" fontId="1" fillId="0" borderId="9" xfId="1" applyNumberFormat="1" applyFont="1" applyBorder="1"/>
    <xf numFmtId="0" fontId="3" fillId="0" borderId="10" xfId="0" applyFont="1" applyBorder="1"/>
    <xf numFmtId="0" fontId="3" fillId="0" borderId="2" xfId="0" applyFont="1" applyBorder="1" applyAlignment="1">
      <alignment wrapText="1"/>
    </xf>
    <xf numFmtId="0" fontId="3" fillId="0" borderId="11" xfId="0" applyFont="1" applyBorder="1" applyAlignment="1">
      <alignment wrapText="1"/>
    </xf>
    <xf numFmtId="0" fontId="0" fillId="0" borderId="12" xfId="0" applyBorder="1"/>
    <xf numFmtId="43" fontId="1" fillId="0" borderId="13" xfId="1" applyNumberFormat="1" applyFont="1" applyBorder="1"/>
    <xf numFmtId="43" fontId="1" fillId="0" borderId="14" xfId="1" applyNumberFormat="1" applyFont="1" applyBorder="1"/>
    <xf numFmtId="0" fontId="3" fillId="0" borderId="11" xfId="0" applyFont="1" applyBorder="1"/>
    <xf numFmtId="0" fontId="5" fillId="0" borderId="0" xfId="0" applyFont="1"/>
    <xf numFmtId="0" fontId="3" fillId="0" borderId="10" xfId="0" applyFont="1" applyBorder="1" applyAlignment="1">
      <alignment wrapText="1"/>
    </xf>
    <xf numFmtId="0" fontId="0" fillId="3" borderId="0" xfId="0" applyFill="1" applyBorder="1"/>
    <xf numFmtId="0" fontId="0" fillId="0" borderId="15" xfId="0" applyFont="1" applyBorder="1" applyAlignment="1"/>
    <xf numFmtId="0" fontId="0" fillId="0" borderId="3" xfId="0" applyFont="1" applyBorder="1" applyAlignment="1"/>
    <xf numFmtId="0" fontId="0" fillId="0" borderId="4" xfId="0" applyFont="1" applyBorder="1" applyAlignment="1"/>
    <xf numFmtId="3" fontId="0" fillId="0" borderId="15" xfId="0" applyNumberFormat="1" applyFill="1" applyBorder="1" applyAlignment="1" applyProtection="1">
      <alignment horizontal="center"/>
    </xf>
    <xf numFmtId="4" fontId="0" fillId="0" borderId="0" xfId="0" applyNumberFormat="1" applyFill="1" applyBorder="1" applyAlignment="1" applyProtection="1">
      <alignment horizontal="center"/>
    </xf>
    <xf numFmtId="0" fontId="0" fillId="0" borderId="0" xfId="0" applyFill="1" applyAlignment="1">
      <alignment horizontal="center"/>
    </xf>
    <xf numFmtId="0" fontId="0" fillId="0" borderId="0" xfId="0" applyFont="1"/>
    <xf numFmtId="0" fontId="6" fillId="0" borderId="0" xfId="0" applyFont="1" applyFill="1" applyAlignment="1">
      <alignment horizontal="center"/>
    </xf>
    <xf numFmtId="0" fontId="7" fillId="0" borderId="0" xfId="0" applyFont="1" applyAlignment="1"/>
    <xf numFmtId="0" fontId="4" fillId="0" borderId="0" xfId="0" applyFont="1" applyFill="1" applyAlignment="1">
      <alignment horizontal="center"/>
    </xf>
    <xf numFmtId="0" fontId="2" fillId="3" borderId="0" xfId="2" applyFill="1"/>
    <xf numFmtId="0" fontId="0" fillId="4" borderId="0" xfId="0" applyFill="1"/>
    <xf numFmtId="0" fontId="0" fillId="0" borderId="0" xfId="0" applyAlignment="1">
      <alignment wrapText="1"/>
    </xf>
    <xf numFmtId="0" fontId="0" fillId="0" borderId="0" xfId="0" applyFont="1" applyAlignment="1">
      <alignment wrapText="1"/>
    </xf>
    <xf numFmtId="3" fontId="0" fillId="0" borderId="0" xfId="0" applyNumberFormat="1"/>
    <xf numFmtId="43" fontId="1" fillId="0" borderId="12" xfId="1" applyFont="1" applyBorder="1"/>
    <xf numFmtId="43" fontId="1" fillId="0" borderId="13" xfId="1" applyFont="1" applyBorder="1"/>
    <xf numFmtId="43" fontId="1" fillId="0" borderId="14" xfId="1" applyFont="1" applyBorder="1"/>
    <xf numFmtId="43" fontId="1" fillId="0" borderId="6" xfId="1" applyFont="1" applyBorder="1"/>
    <xf numFmtId="43" fontId="1" fillId="0" borderId="0" xfId="1" applyFont="1" applyBorder="1"/>
    <xf numFmtId="43" fontId="1" fillId="0" borderId="7" xfId="1" applyFont="1" applyBorder="1"/>
    <xf numFmtId="43" fontId="1" fillId="0" borderId="8" xfId="1" applyFont="1" applyBorder="1"/>
    <xf numFmtId="43" fontId="1" fillId="0" borderId="5" xfId="1" applyFont="1" applyBorder="1"/>
    <xf numFmtId="43" fontId="1" fillId="0" borderId="9" xfId="1" applyFont="1" applyBorder="1"/>
    <xf numFmtId="0" fontId="0" fillId="3" borderId="0" xfId="0" applyFill="1" applyAlignment="1">
      <alignment horizontal="left"/>
    </xf>
    <xf numFmtId="0" fontId="0" fillId="3" borderId="0" xfId="0" applyFill="1" applyAlignment="1">
      <alignment horizontal="left" wrapText="1"/>
    </xf>
    <xf numFmtId="0" fontId="6" fillId="3" borderId="0" xfId="0" applyFont="1" applyFill="1" applyAlignment="1">
      <alignment horizontal="left"/>
    </xf>
    <xf numFmtId="0" fontId="3" fillId="3" borderId="0" xfId="0" applyFont="1" applyFill="1"/>
    <xf numFmtId="0" fontId="10" fillId="0" borderId="0" xfId="4" applyFont="1" applyAlignment="1">
      <alignment horizontal="right"/>
    </xf>
    <xf numFmtId="0" fontId="10" fillId="0" borderId="0" xfId="4" applyFont="1" applyAlignment="1">
      <alignment horizontal="center"/>
    </xf>
    <xf numFmtId="0" fontId="10" fillId="0" borderId="0" xfId="4" applyFont="1" applyAlignment="1">
      <alignment horizontal="left"/>
    </xf>
    <xf numFmtId="3" fontId="11" fillId="0" borderId="0" xfId="4" applyNumberFormat="1" applyFont="1"/>
    <xf numFmtId="0" fontId="1" fillId="0" borderId="0" xfId="0" applyFont="1"/>
    <xf numFmtId="0" fontId="1" fillId="0" borderId="0" xfId="4" applyFont="1" applyAlignment="1">
      <alignment horizontal="right"/>
    </xf>
    <xf numFmtId="0" fontId="1" fillId="0" borderId="0" xfId="4" applyFont="1" applyAlignment="1">
      <alignment horizontal="center"/>
    </xf>
    <xf numFmtId="3" fontId="11" fillId="0" borderId="0" xfId="4" applyNumberFormat="1" applyFont="1" applyAlignment="1">
      <alignment horizontal="left"/>
    </xf>
    <xf numFmtId="1" fontId="8" fillId="0" borderId="0" xfId="4" applyNumberFormat="1" applyFont="1"/>
    <xf numFmtId="1" fontId="8" fillId="0" borderId="0" xfId="4" applyNumberFormat="1" applyFont="1" applyAlignment="1">
      <alignment horizontal="right"/>
    </xf>
    <xf numFmtId="1" fontId="8" fillId="0" borderId="0" xfId="4" applyNumberFormat="1" applyFont="1" applyAlignment="1">
      <alignment horizontal="center"/>
    </xf>
    <xf numFmtId="1" fontId="8" fillId="0" borderId="0" xfId="4" applyNumberFormat="1" applyFont="1" applyAlignment="1">
      <alignment horizontal="left"/>
    </xf>
    <xf numFmtId="3" fontId="1" fillId="0" borderId="0" xfId="5" applyNumberFormat="1" applyFont="1"/>
    <xf numFmtId="3" fontId="1" fillId="0" borderId="0" xfId="5" applyNumberFormat="1" applyFont="1" applyAlignment="1">
      <alignment horizontal="right"/>
    </xf>
    <xf numFmtId="3" fontId="1" fillId="0" borderId="0" xfId="5" applyNumberFormat="1" applyFont="1" applyAlignment="1">
      <alignment horizontal="center"/>
    </xf>
    <xf numFmtId="3" fontId="8" fillId="0" borderId="0" xfId="5" applyNumberFormat="1" applyFont="1" applyAlignment="1">
      <alignment horizontal="left"/>
    </xf>
    <xf numFmtId="1" fontId="10" fillId="0" borderId="0" xfId="4" applyNumberFormat="1" applyFont="1"/>
    <xf numFmtId="3" fontId="10" fillId="0" borderId="0" xfId="5" applyNumberFormat="1" applyFont="1" applyAlignment="1">
      <alignment horizontal="left"/>
    </xf>
    <xf numFmtId="3" fontId="10" fillId="0" borderId="0" xfId="5" applyNumberFormat="1" applyFont="1" applyAlignment="1">
      <alignment horizontal="right"/>
    </xf>
    <xf numFmtId="0" fontId="12" fillId="0" borderId="0" xfId="4" applyFont="1" applyAlignment="1">
      <alignment horizontal="right"/>
    </xf>
    <xf numFmtId="4" fontId="8" fillId="0" borderId="0" xfId="5" applyFont="1" applyFill="1" applyAlignment="1">
      <alignment horizontal="right"/>
    </xf>
    <xf numFmtId="3" fontId="13" fillId="0" borderId="0" xfId="5" applyNumberFormat="1" applyFont="1"/>
    <xf numFmtId="0" fontId="14" fillId="0" borderId="0" xfId="4" applyFont="1" applyAlignment="1">
      <alignment horizontal="right"/>
    </xf>
    <xf numFmtId="0" fontId="14" fillId="0" borderId="0" xfId="0" applyFont="1"/>
    <xf numFmtId="4" fontId="0" fillId="0" borderId="0" xfId="0" applyNumberFormat="1"/>
    <xf numFmtId="0" fontId="3" fillId="3" borderId="0" xfId="0" applyFont="1" applyFill="1" applyAlignment="1"/>
    <xf numFmtId="1" fontId="0" fillId="5" borderId="0" xfId="0" applyNumberFormat="1" applyFill="1"/>
    <xf numFmtId="0" fontId="0" fillId="5" borderId="0" xfId="0" applyFill="1"/>
    <xf numFmtId="0" fontId="3" fillId="5" borderId="0" xfId="0" applyFont="1" applyFill="1" applyAlignment="1">
      <alignment horizontal="left"/>
    </xf>
    <xf numFmtId="0" fontId="2" fillId="3" borderId="0" xfId="2" applyFill="1" applyAlignment="1"/>
    <xf numFmtId="164" fontId="0" fillId="3" borderId="0" xfId="0" applyNumberFormat="1" applyFill="1"/>
    <xf numFmtId="0" fontId="0" fillId="3" borderId="0" xfId="0" applyFill="1" applyAlignment="1"/>
    <xf numFmtId="0" fontId="15" fillId="3" borderId="0" xfId="0" applyFont="1" applyFill="1"/>
    <xf numFmtId="49" fontId="0" fillId="0" borderId="0" xfId="0" applyNumberFormat="1"/>
    <xf numFmtId="0" fontId="6" fillId="3" borderId="0" xfId="0" applyFont="1" applyFill="1"/>
    <xf numFmtId="0" fontId="16" fillId="3" borderId="0" xfId="0" applyFont="1" applyFill="1"/>
    <xf numFmtId="0" fontId="0" fillId="0" borderId="0" xfId="0" applyAlignment="1">
      <alignment horizontal="left"/>
    </xf>
    <xf numFmtId="0" fontId="0" fillId="3" borderId="0" xfId="0" applyFill="1" applyAlignment="1">
      <alignment horizontal="center" vertical="top"/>
    </xf>
    <xf numFmtId="0" fontId="0" fillId="3" borderId="0" xfId="0" applyFill="1" applyAlignment="1">
      <alignment wrapText="1"/>
    </xf>
    <xf numFmtId="0" fontId="0" fillId="0" borderId="0" xfId="0" applyAlignment="1">
      <alignment horizontal="left" wrapText="1"/>
    </xf>
    <xf numFmtId="0" fontId="0" fillId="3" borderId="0" xfId="0" applyFill="1" applyAlignment="1">
      <alignment vertical="top"/>
    </xf>
    <xf numFmtId="0" fontId="0" fillId="6" borderId="2" xfId="0" applyFill="1" applyBorder="1" applyAlignment="1">
      <alignment horizontal="centerContinuous"/>
    </xf>
    <xf numFmtId="0" fontId="0" fillId="6" borderId="11" xfId="0" applyFill="1" applyBorder="1" applyAlignment="1">
      <alignment horizontal="centerContinuous"/>
    </xf>
    <xf numFmtId="0" fontId="14" fillId="6" borderId="2" xfId="0" applyFont="1" applyFill="1" applyBorder="1" applyAlignment="1">
      <alignment horizontal="centerContinuous"/>
    </xf>
    <xf numFmtId="0" fontId="14" fillId="6" borderId="10" xfId="0" applyFont="1" applyFill="1" applyBorder="1" applyAlignment="1">
      <alignment horizontal="centerContinuous"/>
    </xf>
    <xf numFmtId="0" fontId="3" fillId="5" borderId="10" xfId="0" applyFont="1" applyFill="1" applyBorder="1" applyAlignment="1">
      <alignment horizontal="centerContinuous"/>
    </xf>
    <xf numFmtId="0" fontId="3" fillId="5" borderId="2" xfId="0" applyFont="1" applyFill="1" applyBorder="1" applyAlignment="1">
      <alignment horizontal="centerContinuous"/>
    </xf>
    <xf numFmtId="0" fontId="3" fillId="5" borderId="11" xfId="0" applyFont="1" applyFill="1" applyBorder="1" applyAlignment="1">
      <alignment horizontal="centerContinuous"/>
    </xf>
    <xf numFmtId="165" fontId="8" fillId="5" borderId="15" xfId="1" applyNumberFormat="1" applyFont="1" applyFill="1" applyBorder="1" applyAlignment="1">
      <alignment horizontal="center"/>
    </xf>
    <xf numFmtId="165" fontId="8" fillId="5" borderId="3" xfId="1" applyNumberFormat="1" applyFont="1" applyFill="1" applyBorder="1" applyAlignment="1">
      <alignment horizontal="center"/>
    </xf>
    <xf numFmtId="165" fontId="8" fillId="5" borderId="4" xfId="1" applyNumberFormat="1" applyFont="1" applyFill="1" applyBorder="1" applyAlignment="1">
      <alignment horizontal="center"/>
    </xf>
    <xf numFmtId="0" fontId="0" fillId="0" borderId="0" xfId="0" applyBorder="1"/>
    <xf numFmtId="0" fontId="0" fillId="0" borderId="5" xfId="0" applyBorder="1"/>
    <xf numFmtId="0" fontId="3" fillId="2" borderId="14" xfId="0" applyFont="1" applyFill="1" applyBorder="1" applyAlignment="1">
      <alignment horizontal="center" wrapText="1"/>
    </xf>
    <xf numFmtId="0" fontId="17" fillId="0" borderId="0" xfId="0" applyFont="1"/>
    <xf numFmtId="0" fontId="0" fillId="0" borderId="0" xfId="0" applyFill="1" applyAlignment="1">
      <alignment horizontal="left"/>
    </xf>
    <xf numFmtId="4" fontId="0" fillId="0" borderId="14" xfId="0" applyNumberFormat="1" applyFill="1" applyBorder="1" applyAlignment="1" applyProtection="1">
      <alignment horizontal="center"/>
    </xf>
    <xf numFmtId="4" fontId="0" fillId="0" borderId="7" xfId="0" applyNumberFormat="1" applyFill="1" applyBorder="1" applyAlignment="1" applyProtection="1">
      <alignment horizontal="center"/>
    </xf>
    <xf numFmtId="4" fontId="0" fillId="0" borderId="9" xfId="0" applyNumberFormat="1" applyFill="1" applyBorder="1" applyAlignment="1" applyProtection="1">
      <alignment horizont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vertical="center"/>
    </xf>
    <xf numFmtId="0" fontId="3" fillId="0" borderId="15" xfId="0" applyFont="1" applyFill="1" applyBorder="1" applyAlignment="1" applyProtection="1">
      <alignment horizontal="center" vertical="center" wrapText="1"/>
    </xf>
    <xf numFmtId="0" fontId="0" fillId="0" borderId="3" xfId="0" applyFill="1" applyBorder="1" applyAlignment="1" applyProtection="1">
      <alignment horizontal="center"/>
    </xf>
    <xf numFmtId="0" fontId="0" fillId="0" borderId="3" xfId="0" applyFont="1" applyFill="1" applyBorder="1" applyAlignment="1" applyProtection="1">
      <alignment horizontal="center"/>
    </xf>
    <xf numFmtId="0" fontId="0" fillId="0" borderId="4" xfId="0" applyFill="1" applyBorder="1" applyAlignment="1" applyProtection="1">
      <alignment horizontal="center"/>
    </xf>
    <xf numFmtId="10" fontId="1" fillId="0" borderId="14" xfId="3" applyNumberFormat="1" applyFont="1" applyFill="1" applyBorder="1" applyAlignment="1" applyProtection="1">
      <alignment horizontal="center"/>
    </xf>
    <xf numFmtId="10" fontId="1" fillId="0" borderId="7" xfId="3" applyNumberFormat="1" applyFont="1" applyFill="1" applyBorder="1" applyAlignment="1" applyProtection="1">
      <alignment horizontal="center"/>
    </xf>
    <xf numFmtId="10" fontId="1" fillId="0" borderId="9" xfId="3" applyNumberFormat="1" applyFont="1" applyFill="1" applyBorder="1" applyAlignment="1" applyProtection="1">
      <alignment horizontal="center"/>
    </xf>
    <xf numFmtId="3" fontId="0" fillId="0" borderId="15" xfId="0" applyNumberFormat="1" applyBorder="1" applyAlignment="1">
      <alignment horizontal="center"/>
    </xf>
    <xf numFmtId="3" fontId="0" fillId="0" borderId="3" xfId="0" applyNumberFormat="1" applyBorder="1" applyAlignment="1">
      <alignment horizontal="center"/>
    </xf>
    <xf numFmtId="3" fontId="0" fillId="0" borderId="4" xfId="0" applyNumberFormat="1" applyBorder="1" applyAlignment="1">
      <alignment horizontal="center"/>
    </xf>
    <xf numFmtId="0" fontId="3" fillId="0" borderId="14" xfId="0" applyFont="1" applyFill="1" applyBorder="1" applyAlignment="1" applyProtection="1">
      <alignment horizontal="center" vertical="center" wrapText="1"/>
    </xf>
    <xf numFmtId="0" fontId="0" fillId="0" borderId="15" xfId="0" applyBorder="1"/>
    <xf numFmtId="0" fontId="0" fillId="0" borderId="3" xfId="0" applyBorder="1"/>
    <xf numFmtId="0" fontId="0" fillId="0" borderId="4" xfId="0" applyBorder="1"/>
    <xf numFmtId="0" fontId="7" fillId="0" borderId="0" xfId="0" applyFont="1" applyAlignment="1">
      <alignment horizontal="left"/>
    </xf>
    <xf numFmtId="0" fontId="4" fillId="0" borderId="0" xfId="0" applyFont="1" applyAlignment="1">
      <alignment horizontal="left"/>
    </xf>
    <xf numFmtId="0" fontId="0" fillId="0" borderId="1" xfId="0" applyFill="1" applyBorder="1" applyProtection="1">
      <protection locked="0"/>
    </xf>
    <xf numFmtId="0" fontId="0" fillId="3" borderId="0" xfId="0" applyFill="1" applyAlignment="1">
      <alignment horizontal="left" vertical="top" wrapText="1"/>
    </xf>
    <xf numFmtId="0" fontId="3" fillId="3" borderId="0" xfId="0" applyFont="1" applyFill="1" applyAlignment="1">
      <alignment horizontal="center"/>
    </xf>
    <xf numFmtId="3" fontId="11" fillId="0" borderId="0" xfId="4" applyNumberFormat="1" applyFont="1" applyAlignment="1">
      <alignment horizontal="center"/>
    </xf>
  </cellXfs>
  <cellStyles count="6">
    <cellStyle name="%" xfId="4" xr:uid="{428BB728-1BE7-413A-8204-3B2CAA271D30}"/>
    <cellStyle name="Comma" xfId="1" builtinId="3"/>
    <cellStyle name="Comma 2" xfId="5" xr:uid="{585B5E26-9648-4771-AD06-FD7DEBA1CD22}"/>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3178136702"/>
          <c:y val="6.8453804385562922E-2"/>
          <c:w val="0.80801604209485733"/>
          <c:h val="0.61627032732019604"/>
        </c:manualLayout>
      </c:layout>
      <c:barChart>
        <c:barDir val="col"/>
        <c:grouping val="clustered"/>
        <c:varyColors val="0"/>
        <c:ser>
          <c:idx val="4"/>
          <c:order val="0"/>
          <c:tx>
            <c:strRef>
              <c:f>Graphs!$G$49</c:f>
              <c:strCache>
                <c:ptCount val="1"/>
                <c:pt idx="0">
                  <c:v>Admin cost per pupil</c:v>
                </c:pt>
              </c:strCache>
            </c:strRef>
          </c:tx>
          <c:spPr>
            <a:solidFill>
              <a:schemeClr val="accent4">
                <a:lumMod val="60000"/>
                <a:lumOff val="40000"/>
              </a:schemeClr>
            </a:solidFill>
          </c:spPr>
          <c:invertIfNegative val="0"/>
          <c:cat>
            <c:multiLvlStrRef>
              <c:f>Graphs!$D$50:$E$57</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Graphs!$G$50:$G$57</c:f>
              <c:numCache>
                <c:formatCode>#,##0.00</c:formatCode>
                <c:ptCount val="8"/>
                <c:pt idx="0">
                  <c:v>602.42218750000006</c:v>
                </c:pt>
                <c:pt idx="1">
                  <c:v>165.97857142857143</c:v>
                </c:pt>
                <c:pt idx="2">
                  <c:v>1124.5350000000001</c:v>
                </c:pt>
                <c:pt idx="3">
                  <c:v>553.44916666666654</c:v>
                </c:pt>
                <c:pt idx="4">
                  <c:v>843.00423076923084</c:v>
                </c:pt>
                <c:pt idx="5">
                  <c:v>893.19693877550969</c:v>
                </c:pt>
                <c:pt idx="6">
                  <c:v>787.78999999999951</c:v>
                </c:pt>
                <c:pt idx="7">
                  <c:v>817.06137931034482</c:v>
                </c:pt>
              </c:numCache>
            </c:numRef>
          </c:val>
          <c:extLst>
            <c:ext xmlns:c16="http://schemas.microsoft.com/office/drawing/2014/chart" uri="{C3380CC4-5D6E-409C-BE32-E72D297353CC}">
              <c16:uniqueId val="{00000000-2370-42F0-B877-A7D2C7FD04B4}"/>
            </c:ext>
          </c:extLst>
        </c:ser>
        <c:dLbls>
          <c:showLegendKey val="0"/>
          <c:showVal val="0"/>
          <c:showCatName val="0"/>
          <c:showSerName val="0"/>
          <c:showPercent val="0"/>
          <c:showBubbleSize val="0"/>
        </c:dLbls>
        <c:gapWidth val="150"/>
        <c:overlap val="23"/>
        <c:axId val="232205000"/>
        <c:axId val="1"/>
      </c:barChart>
      <c:catAx>
        <c:axId val="232205000"/>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618739344113571"/>
              <c:y val="0.90007457401158186"/>
            </c:manualLayout>
          </c:layout>
          <c:overlay val="0"/>
        </c:title>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GB"/>
                  <a:t>Cost (£)</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2205000"/>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3178136702"/>
          <c:y val="6.8453804385562922E-2"/>
          <c:w val="0.80801604209485733"/>
          <c:h val="0.61627032732019604"/>
        </c:manualLayout>
      </c:layout>
      <c:barChart>
        <c:barDir val="col"/>
        <c:grouping val="clustered"/>
        <c:varyColors val="0"/>
        <c:ser>
          <c:idx val="4"/>
          <c:order val="0"/>
          <c:tx>
            <c:strRef>
              <c:f>'Graphs %'!$H$47</c:f>
              <c:strCache>
                <c:ptCount val="1"/>
                <c:pt idx="0">
                  <c:v>%</c:v>
                </c:pt>
              </c:strCache>
            </c:strRef>
          </c:tx>
          <c:spPr>
            <a:solidFill>
              <a:schemeClr val="accent4">
                <a:lumMod val="60000"/>
                <a:lumOff val="40000"/>
              </a:schemeClr>
            </a:solidFill>
          </c:spPr>
          <c:invertIfNegative val="0"/>
          <c:cat>
            <c:multiLvlStrRef>
              <c:f>'Graphs %'!$D$48:$E$55</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'Graphs %'!$H$48:$H$55</c:f>
              <c:numCache>
                <c:formatCode>0.00%</c:formatCode>
                <c:ptCount val="8"/>
                <c:pt idx="0">
                  <c:v>7.3123848425635171E-2</c:v>
                </c:pt>
                <c:pt idx="1">
                  <c:v>2.2807286769609442E-2</c:v>
                </c:pt>
                <c:pt idx="2">
                  <c:v>0.11910792217997741</c:v>
                </c:pt>
                <c:pt idx="3">
                  <c:v>7.4034847285479599E-2</c:v>
                </c:pt>
                <c:pt idx="4">
                  <c:v>6.5524543942584071E-2</c:v>
                </c:pt>
                <c:pt idx="5">
                  <c:v>8.9990464434041406E-2</c:v>
                </c:pt>
                <c:pt idx="6">
                  <c:v>8.576947422252959E-2</c:v>
                </c:pt>
                <c:pt idx="7">
                  <c:v>8.4202028322918468E-2</c:v>
                </c:pt>
              </c:numCache>
            </c:numRef>
          </c:val>
          <c:extLst>
            <c:ext xmlns:c16="http://schemas.microsoft.com/office/drawing/2014/chart" uri="{C3380CC4-5D6E-409C-BE32-E72D297353CC}">
              <c16:uniqueId val="{00000000-8ED1-49ED-AC3B-D625B3D2FF9D}"/>
            </c:ext>
          </c:extLst>
        </c:ser>
        <c:dLbls>
          <c:showLegendKey val="0"/>
          <c:showVal val="0"/>
          <c:showCatName val="0"/>
          <c:showSerName val="0"/>
          <c:showPercent val="0"/>
          <c:showBubbleSize val="0"/>
        </c:dLbls>
        <c:gapWidth val="150"/>
        <c:overlap val="23"/>
        <c:axId val="232207624"/>
        <c:axId val="1"/>
      </c:barChart>
      <c:catAx>
        <c:axId val="23220762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6187394039859853"/>
              <c:y val="0.92334083742887851"/>
            </c:manualLayout>
          </c:layout>
          <c:overlay val="0"/>
        </c:title>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GB"/>
                  <a:t>% of total expenditure</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2207624"/>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Utility cost per pupil (£)</a:t>
            </a:r>
          </a:p>
        </c:rich>
      </c:tx>
      <c:overlay val="0"/>
    </c:title>
    <c:autoTitleDeleted val="0"/>
    <c:plotArea>
      <c:layout/>
      <c:barChart>
        <c:barDir val="col"/>
        <c:grouping val="stacked"/>
        <c:varyColors val="0"/>
        <c:ser>
          <c:idx val="0"/>
          <c:order val="0"/>
          <c:tx>
            <c:strRef>
              <c:f>Data!$J$4</c:f>
              <c:strCache>
                <c:ptCount val="1"/>
                <c:pt idx="0">
                  <c:v>Electricity</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Data!$J$5:$J$12</c:f>
              <c:numCache>
                <c:formatCode>_(* #,##0.00_);_(* \(#,##0.00\);_(* "-"??_);_(@_)</c:formatCode>
                <c:ptCount val="8"/>
                <c:pt idx="0">
                  <c:v>10.3025</c:v>
                </c:pt>
                <c:pt idx="1">
                  <c:v>0</c:v>
                </c:pt>
                <c:pt idx="2">
                  <c:v>123.68500000000002</c:v>
                </c:pt>
                <c:pt idx="3">
                  <c:v>132.44404761904764</c:v>
                </c:pt>
                <c:pt idx="4">
                  <c:v>200.77769230769232</c:v>
                </c:pt>
                <c:pt idx="5">
                  <c:v>175.99387755102038</c:v>
                </c:pt>
                <c:pt idx="6">
                  <c:v>84.339444444444439</c:v>
                </c:pt>
                <c:pt idx="7">
                  <c:v>133.51793103448273</c:v>
                </c:pt>
              </c:numCache>
            </c:numRef>
          </c:val>
          <c:extLst>
            <c:ext xmlns:c16="http://schemas.microsoft.com/office/drawing/2014/chart" uri="{C3380CC4-5D6E-409C-BE32-E72D297353CC}">
              <c16:uniqueId val="{00000000-91DF-4EFD-A60A-15EC20FB6543}"/>
            </c:ext>
          </c:extLst>
        </c:ser>
        <c:ser>
          <c:idx val="1"/>
          <c:order val="1"/>
          <c:tx>
            <c:strRef>
              <c:f>Data!$L$4</c:f>
              <c:strCache>
                <c:ptCount val="1"/>
                <c:pt idx="0">
                  <c:v>Gas</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Data!$L$5:$L$12</c:f>
              <c:numCache>
                <c:formatCode>_(* #,##0.00_);_(* \(#,##0.00\);_(* "-"??_);_(@_)</c:formatCode>
                <c:ptCount val="8"/>
                <c:pt idx="0">
                  <c:v>73.585156249999997</c:v>
                </c:pt>
                <c:pt idx="1">
                  <c:v>0</c:v>
                </c:pt>
                <c:pt idx="2">
                  <c:v>99.986538461538458</c:v>
                </c:pt>
                <c:pt idx="3">
                  <c:v>71.239523809523831</c:v>
                </c:pt>
                <c:pt idx="4">
                  <c:v>42.016538461538453</c:v>
                </c:pt>
                <c:pt idx="5">
                  <c:v>65.096530612244905</c:v>
                </c:pt>
                <c:pt idx="6">
                  <c:v>63.850000000000009</c:v>
                </c:pt>
                <c:pt idx="7">
                  <c:v>82.955000000000013</c:v>
                </c:pt>
              </c:numCache>
            </c:numRef>
          </c:val>
          <c:extLst>
            <c:ext xmlns:c16="http://schemas.microsoft.com/office/drawing/2014/chart" uri="{C3380CC4-5D6E-409C-BE32-E72D297353CC}">
              <c16:uniqueId val="{00000001-91DF-4EFD-A60A-15EC20FB6543}"/>
            </c:ext>
          </c:extLst>
        </c:ser>
        <c:ser>
          <c:idx val="2"/>
          <c:order val="2"/>
          <c:tx>
            <c:strRef>
              <c:f>Data!$W$4</c:f>
              <c:strCache>
                <c:ptCount val="1"/>
                <c:pt idx="0">
                  <c:v>Water Charges</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Data!$W$5:$W$12</c:f>
              <c:numCache>
                <c:formatCode>_(* #,##0.00_);_(* \(#,##0.00\);_(* "-"??_);_(@_)</c:formatCode>
                <c:ptCount val="8"/>
                <c:pt idx="0">
                  <c:v>54.229531249999994</c:v>
                </c:pt>
                <c:pt idx="1">
                  <c:v>0</c:v>
                </c:pt>
                <c:pt idx="2">
                  <c:v>53.970769230769228</c:v>
                </c:pt>
                <c:pt idx="3">
                  <c:v>41.071428571428569</c:v>
                </c:pt>
                <c:pt idx="4">
                  <c:v>31.821538461538463</c:v>
                </c:pt>
                <c:pt idx="5">
                  <c:v>43.042653061224492</c:v>
                </c:pt>
                <c:pt idx="6">
                  <c:v>17.592962962962964</c:v>
                </c:pt>
                <c:pt idx="7">
                  <c:v>2.6194827586206899</c:v>
                </c:pt>
              </c:numCache>
            </c:numRef>
          </c:val>
          <c:extLst>
            <c:ext xmlns:c16="http://schemas.microsoft.com/office/drawing/2014/chart" uri="{C3380CC4-5D6E-409C-BE32-E72D297353CC}">
              <c16:uniqueId val="{00000002-91DF-4EFD-A60A-15EC20FB6543}"/>
            </c:ext>
          </c:extLst>
        </c:ser>
        <c:dLbls>
          <c:showLegendKey val="0"/>
          <c:showVal val="0"/>
          <c:showCatName val="0"/>
          <c:showSerName val="0"/>
          <c:showPercent val="0"/>
          <c:showBubbleSize val="0"/>
        </c:dLbls>
        <c:gapWidth val="150"/>
        <c:overlap val="100"/>
        <c:axId val="232216152"/>
        <c:axId val="1"/>
      </c:barChart>
      <c:catAx>
        <c:axId val="23221615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Cost per pupil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221615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4803149606299213" l="0.70866141732283472" r="0.70866141732283472" t="0.74803149606299213" header="0.31496062992125984" footer="0.31496062992125984"/>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Teaching cost per pupil (£)</a:t>
            </a:r>
          </a:p>
        </c:rich>
      </c:tx>
      <c:overlay val="0"/>
    </c:title>
    <c:autoTitleDeleted val="0"/>
    <c:plotArea>
      <c:layout/>
      <c:barChart>
        <c:barDir val="col"/>
        <c:grouping val="stacked"/>
        <c:varyColors val="0"/>
        <c:ser>
          <c:idx val="0"/>
          <c:order val="0"/>
          <c:tx>
            <c:strRef>
              <c:f>Data!$T$4</c:f>
              <c:strCache>
                <c:ptCount val="1"/>
                <c:pt idx="0">
                  <c:v>Teachers</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Data!$T$5:$T$12</c:f>
              <c:numCache>
                <c:formatCode>_(* #,##0.00_);_(* \(#,##0.00\);_(* "-"??_);_(@_)</c:formatCode>
                <c:ptCount val="8"/>
                <c:pt idx="0">
                  <c:v>1932.7932812500003</c:v>
                </c:pt>
                <c:pt idx="1">
                  <c:v>2255.9882142857145</c:v>
                </c:pt>
                <c:pt idx="2">
                  <c:v>6044.3703846153867</c:v>
                </c:pt>
                <c:pt idx="3">
                  <c:v>3208.2358333333332</c:v>
                </c:pt>
                <c:pt idx="4">
                  <c:v>4825.3223076923077</c:v>
                </c:pt>
                <c:pt idx="5">
                  <c:v>3652.5212244897957</c:v>
                </c:pt>
                <c:pt idx="6">
                  <c:v>2429.6333333333318</c:v>
                </c:pt>
                <c:pt idx="7">
                  <c:v>4314.0115517241366</c:v>
                </c:pt>
              </c:numCache>
            </c:numRef>
          </c:val>
          <c:extLst>
            <c:ext xmlns:c16="http://schemas.microsoft.com/office/drawing/2014/chart" uri="{C3380CC4-5D6E-409C-BE32-E72D297353CC}">
              <c16:uniqueId val="{00000000-2439-4486-8331-1124B97B73DE}"/>
            </c:ext>
          </c:extLst>
        </c:ser>
        <c:ser>
          <c:idx val="1"/>
          <c:order val="1"/>
          <c:tx>
            <c:strRef>
              <c:f>Data!$R$4</c:f>
              <c:strCache>
                <c:ptCount val="1"/>
                <c:pt idx="0">
                  <c:v>Supply Teachers inc Agency</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Data!$R$5:$R$12</c:f>
              <c:numCache>
                <c:formatCode>_(* #,##0.00_);_(* \(#,##0.00\);_(* "-"??_);_(@_)</c:formatCode>
                <c:ptCount val="8"/>
                <c:pt idx="0">
                  <c:v>127.89906250000001</c:v>
                </c:pt>
                <c:pt idx="1">
                  <c:v>208.36607142857142</c:v>
                </c:pt>
                <c:pt idx="2">
                  <c:v>38.724999999999994</c:v>
                </c:pt>
                <c:pt idx="3">
                  <c:v>21.773214285714285</c:v>
                </c:pt>
                <c:pt idx="4">
                  <c:v>83.211538461538467</c:v>
                </c:pt>
                <c:pt idx="5">
                  <c:v>0</c:v>
                </c:pt>
                <c:pt idx="6">
                  <c:v>35.445185185185181</c:v>
                </c:pt>
                <c:pt idx="7">
                  <c:v>0</c:v>
                </c:pt>
              </c:numCache>
            </c:numRef>
          </c:val>
          <c:extLst>
            <c:ext xmlns:c16="http://schemas.microsoft.com/office/drawing/2014/chart" uri="{C3380CC4-5D6E-409C-BE32-E72D297353CC}">
              <c16:uniqueId val="{00000001-2439-4486-8331-1124B97B73DE}"/>
            </c:ext>
          </c:extLst>
        </c:ser>
        <c:dLbls>
          <c:showLegendKey val="0"/>
          <c:showVal val="0"/>
          <c:showCatName val="0"/>
          <c:showSerName val="0"/>
          <c:showPercent val="0"/>
          <c:showBubbleSize val="0"/>
        </c:dLbls>
        <c:gapWidth val="150"/>
        <c:overlap val="100"/>
        <c:axId val="232221072"/>
        <c:axId val="1"/>
      </c:barChart>
      <c:catAx>
        <c:axId val="23222107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cost per pupil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2221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layout>
        <c:manualLayout>
          <c:xMode val="edge"/>
          <c:yMode val="edge"/>
          <c:x val="0.90535036809966185"/>
          <c:y val="0.49870885791682457"/>
          <c:w val="8.7864220534774107E-2"/>
          <c:h val="0.14692267744606793"/>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4803149606299213" l="0.70866141732283472" r="0.70866141732283472" t="0.74803149606299213" header="0.31496062992125984" footer="0.31496062992125984"/>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Calibri"/>
                <a:ea typeface="Calibri"/>
                <a:cs typeface="Calibri"/>
              </a:defRPr>
            </a:pPr>
            <a:r>
              <a:rPr lang="en-GB"/>
              <a:t>Support staff cost per pupil (£)</a:t>
            </a:r>
          </a:p>
        </c:rich>
      </c:tx>
      <c:overlay val="0"/>
    </c:title>
    <c:autoTitleDeleted val="0"/>
    <c:plotArea>
      <c:layout/>
      <c:barChart>
        <c:barDir val="col"/>
        <c:grouping val="stacked"/>
        <c:varyColors val="0"/>
        <c:ser>
          <c:idx val="0"/>
          <c:order val="0"/>
          <c:tx>
            <c:strRef>
              <c:f>Data!$D$4</c:f>
              <c:strCache>
                <c:ptCount val="1"/>
                <c:pt idx="0">
                  <c:v>Admin</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Data!$D$5:$D$12</c:f>
              <c:numCache>
                <c:formatCode>_(* #,##0.00_);_(* \(#,##0.00\);_(* "-"??_);_(@_)</c:formatCode>
                <c:ptCount val="8"/>
                <c:pt idx="0">
                  <c:v>602.42218750000006</c:v>
                </c:pt>
                <c:pt idx="1">
                  <c:v>165.97857142857143</c:v>
                </c:pt>
                <c:pt idx="2">
                  <c:v>1124.5350000000001</c:v>
                </c:pt>
                <c:pt idx="3">
                  <c:v>553.44916666666654</c:v>
                </c:pt>
                <c:pt idx="4">
                  <c:v>843.00423076923084</c:v>
                </c:pt>
                <c:pt idx="5">
                  <c:v>893.19693877550969</c:v>
                </c:pt>
                <c:pt idx="6">
                  <c:v>787.78999999999951</c:v>
                </c:pt>
                <c:pt idx="7">
                  <c:v>817.06137931034482</c:v>
                </c:pt>
              </c:numCache>
            </c:numRef>
          </c:val>
          <c:extLst>
            <c:ext xmlns:c16="http://schemas.microsoft.com/office/drawing/2014/chart" uri="{C3380CC4-5D6E-409C-BE32-E72D297353CC}">
              <c16:uniqueId val="{00000000-5BBA-4D2C-BC27-0C3FD49E2BEA}"/>
            </c:ext>
          </c:extLst>
        </c:ser>
        <c:ser>
          <c:idx val="1"/>
          <c:order val="1"/>
          <c:tx>
            <c:strRef>
              <c:f>Data!$E$4</c:f>
              <c:strCache>
                <c:ptCount val="1"/>
                <c:pt idx="0">
                  <c:v>Ancillary Staff</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Data!$E$5:$E$12</c:f>
              <c:numCache>
                <c:formatCode>_(* #,##0.00_);_(* \(#,##0.00\);_(* "-"??_);_(@_)</c:formatCode>
                <c:ptCount val="8"/>
                <c:pt idx="0">
                  <c:v>0</c:v>
                </c:pt>
                <c:pt idx="1">
                  <c:v>89.778571428571425</c:v>
                </c:pt>
                <c:pt idx="2">
                  <c:v>0</c:v>
                </c:pt>
                <c:pt idx="3">
                  <c:v>153.02166666666668</c:v>
                </c:pt>
                <c:pt idx="4">
                  <c:v>0</c:v>
                </c:pt>
                <c:pt idx="5">
                  <c:v>0</c:v>
                </c:pt>
                <c:pt idx="6">
                  <c:v>0</c:v>
                </c:pt>
                <c:pt idx="7">
                  <c:v>50.587586206896553</c:v>
                </c:pt>
              </c:numCache>
            </c:numRef>
          </c:val>
          <c:extLst>
            <c:ext xmlns:c16="http://schemas.microsoft.com/office/drawing/2014/chart" uri="{C3380CC4-5D6E-409C-BE32-E72D297353CC}">
              <c16:uniqueId val="{00000001-5BBA-4D2C-BC27-0C3FD49E2BEA}"/>
            </c:ext>
          </c:extLst>
        </c:ser>
        <c:ser>
          <c:idx val="2"/>
          <c:order val="2"/>
          <c:tx>
            <c:strRef>
              <c:f>Data!$F$4</c:f>
              <c:strCache>
                <c:ptCount val="1"/>
                <c:pt idx="0">
                  <c:v>Care Staff</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Data!$F$5:$F$12</c:f>
              <c:numCache>
                <c:formatCode>_(* #,##0.00_);_(* \(#,##0.00\);_(* "-"??_);_(@_)</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5BBA-4D2C-BC27-0C3FD49E2BEA}"/>
            </c:ext>
          </c:extLst>
        </c:ser>
        <c:ser>
          <c:idx val="3"/>
          <c:order val="3"/>
          <c:tx>
            <c:strRef>
              <c:f>Data!$G$4</c:f>
              <c:strCache>
                <c:ptCount val="1"/>
                <c:pt idx="0">
                  <c:v>Caretaker costs</c:v>
                </c:pt>
              </c:strCache>
            </c:strRef>
          </c:tx>
          <c:invertIfNegative val="0"/>
          <c:cat>
            <c:multiLvlStrRef>
              <c:f>Data!$A$5:$B$12</c:f>
              <c:multiLvlStrCache>
                <c:ptCount val="8"/>
                <c:lvl>
                  <c:pt idx="0">
                    <c:v>Hadfield Nursery</c:v>
                  </c:pt>
                  <c:pt idx="1">
                    <c:v>Gamesley Early Ex C</c:v>
                  </c:pt>
                  <c:pt idx="2">
                    <c:v>New Mills Nursery</c:v>
                  </c:pt>
                  <c:pt idx="3">
                    <c:v>Ripley Nursery</c:v>
                  </c:pt>
                  <c:pt idx="4">
                    <c:v>Flagg Nursery School</c:v>
                  </c:pt>
                  <c:pt idx="5">
                    <c:v>Pinxton Nursery Sch</c:v>
                  </c:pt>
                  <c:pt idx="6">
                    <c:v>S Normanton Nursery</c:v>
                  </c:pt>
                  <c:pt idx="7">
                    <c:v>Alfreton Nursery Sch</c:v>
                  </c:pt>
                </c:lvl>
                <c:lvl>
                  <c:pt idx="0">
                    <c:v>CIN1001</c:v>
                  </c:pt>
                  <c:pt idx="1">
                    <c:v>CIN1002</c:v>
                  </c:pt>
                  <c:pt idx="2">
                    <c:v>CIN1012</c:v>
                  </c:pt>
                  <c:pt idx="3">
                    <c:v>CIN1013</c:v>
                  </c:pt>
                  <c:pt idx="4">
                    <c:v>CIN1016</c:v>
                  </c:pt>
                  <c:pt idx="5">
                    <c:v>CIN1018</c:v>
                  </c:pt>
                  <c:pt idx="6">
                    <c:v>CIN1019</c:v>
                  </c:pt>
                  <c:pt idx="7">
                    <c:v>CIN1020</c:v>
                  </c:pt>
                </c:lvl>
              </c:multiLvlStrCache>
            </c:multiLvlStrRef>
          </c:cat>
          <c:val>
            <c:numRef>
              <c:f>Data!$G$5:$G$12</c:f>
              <c:numCache>
                <c:formatCode>_(* #,##0.00_);_(* \(#,##0.00\);_(* "-"??_);_(@_)</c:formatCode>
                <c:ptCount val="8"/>
                <c:pt idx="0">
                  <c:v>0</c:v>
                </c:pt>
                <c:pt idx="1">
                  <c:v>0</c:v>
                </c:pt>
                <c:pt idx="2">
                  <c:v>0</c:v>
                </c:pt>
                <c:pt idx="3">
                  <c:v>0</c:v>
                </c:pt>
                <c:pt idx="4">
                  <c:v>586.78538461538471</c:v>
                </c:pt>
                <c:pt idx="5">
                  <c:v>0</c:v>
                </c:pt>
                <c:pt idx="6">
                  <c:v>413.76666666666671</c:v>
                </c:pt>
                <c:pt idx="7">
                  <c:v>0</c:v>
                </c:pt>
              </c:numCache>
            </c:numRef>
          </c:val>
          <c:extLst>
            <c:ext xmlns:c16="http://schemas.microsoft.com/office/drawing/2014/chart" uri="{C3380CC4-5D6E-409C-BE32-E72D297353CC}">
              <c16:uniqueId val="{00000003-5BBA-4D2C-BC27-0C3FD49E2BEA}"/>
            </c:ext>
          </c:extLst>
        </c:ser>
        <c:ser>
          <c:idx val="4"/>
          <c:order val="4"/>
          <c:tx>
            <c:strRef>
              <c:f>Data!$H$4</c:f>
              <c:strCache>
                <c:ptCount val="1"/>
                <c:pt idx="0">
                  <c:v>Catering Staff </c:v>
                </c:pt>
              </c:strCache>
            </c:strRef>
          </c:tx>
          <c:invertIfNegative val="0"/>
          <c:val>
            <c:numRef>
              <c:f>Data!$H$5:$H$12</c:f>
              <c:numCache>
                <c:formatCode>_(* #,##0.00_);_(* \(#,##0.00\);_(* "-"??_);_(@_)</c:formatCode>
                <c:ptCount val="8"/>
                <c:pt idx="0">
                  <c:v>6.3390624999999998</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5BBA-4D2C-BC27-0C3FD49E2BEA}"/>
            </c:ext>
          </c:extLst>
        </c:ser>
        <c:ser>
          <c:idx val="5"/>
          <c:order val="5"/>
          <c:tx>
            <c:strRef>
              <c:f>Data!$K$4</c:f>
              <c:strCache>
                <c:ptCount val="1"/>
                <c:pt idx="0">
                  <c:v>Extended Services</c:v>
                </c:pt>
              </c:strCache>
            </c:strRef>
          </c:tx>
          <c:invertIfNegative val="0"/>
          <c:val>
            <c:numRef>
              <c:f>Data!$K$5:$K$12</c:f>
              <c:numCache>
                <c:formatCode>_(* #,##0.00_);_(* \(#,##0.00\);_(* "-"??_);_(@_)</c:formatCode>
                <c:ptCount val="8"/>
                <c:pt idx="0">
                  <c:v>75.47750000000002</c:v>
                </c:pt>
                <c:pt idx="1">
                  <c:v>0</c:v>
                </c:pt>
                <c:pt idx="2">
                  <c:v>0</c:v>
                </c:pt>
                <c:pt idx="3">
                  <c:v>0</c:v>
                </c:pt>
                <c:pt idx="4">
                  <c:v>2242.5723076923073</c:v>
                </c:pt>
                <c:pt idx="5">
                  <c:v>0</c:v>
                </c:pt>
                <c:pt idx="6">
                  <c:v>0</c:v>
                </c:pt>
                <c:pt idx="7">
                  <c:v>0</c:v>
                </c:pt>
              </c:numCache>
            </c:numRef>
          </c:val>
          <c:extLst>
            <c:ext xmlns:c16="http://schemas.microsoft.com/office/drawing/2014/chart" uri="{C3380CC4-5D6E-409C-BE32-E72D297353CC}">
              <c16:uniqueId val="{00000005-5BBA-4D2C-BC27-0C3FD49E2BEA}"/>
            </c:ext>
          </c:extLst>
        </c:ser>
        <c:ser>
          <c:idx val="6"/>
          <c:order val="6"/>
          <c:tx>
            <c:strRef>
              <c:f>Data!$O$4</c:f>
              <c:strCache>
                <c:ptCount val="1"/>
                <c:pt idx="0">
                  <c:v>Midday Supervisors</c:v>
                </c:pt>
              </c:strCache>
            </c:strRef>
          </c:tx>
          <c:invertIfNegative val="0"/>
          <c:val>
            <c:numRef>
              <c:f>Data!$O$5:$O$12</c:f>
              <c:numCache>
                <c:formatCode>_(* #,##0.00_);_(* \(#,##0.00\);_(* "-"??_);_(@_)</c:formatCode>
                <c:ptCount val="8"/>
                <c:pt idx="0">
                  <c:v>302.81390625</c:v>
                </c:pt>
                <c:pt idx="1">
                  <c:v>149.45892857142854</c:v>
                </c:pt>
                <c:pt idx="2">
                  <c:v>0</c:v>
                </c:pt>
                <c:pt idx="3">
                  <c:v>420.86238095238099</c:v>
                </c:pt>
                <c:pt idx="4">
                  <c:v>0</c:v>
                </c:pt>
                <c:pt idx="5">
                  <c:v>1547.3010204081634</c:v>
                </c:pt>
                <c:pt idx="6">
                  <c:v>98.428148148148111</c:v>
                </c:pt>
                <c:pt idx="7">
                  <c:v>0</c:v>
                </c:pt>
              </c:numCache>
            </c:numRef>
          </c:val>
          <c:extLst>
            <c:ext xmlns:c16="http://schemas.microsoft.com/office/drawing/2014/chart" uri="{C3380CC4-5D6E-409C-BE32-E72D297353CC}">
              <c16:uniqueId val="{00000006-5BBA-4D2C-BC27-0C3FD49E2BEA}"/>
            </c:ext>
          </c:extLst>
        </c:ser>
        <c:ser>
          <c:idx val="7"/>
          <c:order val="7"/>
          <c:tx>
            <c:strRef>
              <c:f>Data!$S$4</c:f>
              <c:strCache>
                <c:ptCount val="1"/>
                <c:pt idx="0">
                  <c:v>TA</c:v>
                </c:pt>
              </c:strCache>
            </c:strRef>
          </c:tx>
          <c:invertIfNegative val="0"/>
          <c:val>
            <c:numRef>
              <c:f>Data!$S$5:$S$12</c:f>
              <c:numCache>
                <c:formatCode>_(* #,##0.00_);_(* \(#,##0.00\);_(* "-"??_);_(@_)</c:formatCode>
                <c:ptCount val="8"/>
                <c:pt idx="0">
                  <c:v>4687.915937499999</c:v>
                </c:pt>
                <c:pt idx="1">
                  <c:v>4127.5396428571448</c:v>
                </c:pt>
                <c:pt idx="2">
                  <c:v>1577.2599999999998</c:v>
                </c:pt>
                <c:pt idx="3">
                  <c:v>2591.7814285714285</c:v>
                </c:pt>
                <c:pt idx="4">
                  <c:v>3387.5342307692304</c:v>
                </c:pt>
                <c:pt idx="5">
                  <c:v>2893.7618367346936</c:v>
                </c:pt>
                <c:pt idx="6">
                  <c:v>5021.6942592592595</c:v>
                </c:pt>
                <c:pt idx="7">
                  <c:v>3845.4589655172413</c:v>
                </c:pt>
              </c:numCache>
            </c:numRef>
          </c:val>
          <c:extLst>
            <c:ext xmlns:c16="http://schemas.microsoft.com/office/drawing/2014/chart" uri="{C3380CC4-5D6E-409C-BE32-E72D297353CC}">
              <c16:uniqueId val="{00000007-5BBA-4D2C-BC27-0C3FD49E2BEA}"/>
            </c:ext>
          </c:extLst>
        </c:ser>
        <c:ser>
          <c:idx val="8"/>
          <c:order val="8"/>
          <c:tx>
            <c:strRef>
              <c:f>Data!$U$4</c:f>
              <c:strCache>
                <c:ptCount val="1"/>
                <c:pt idx="0">
                  <c:v>Technicians</c:v>
                </c:pt>
              </c:strCache>
            </c:strRef>
          </c:tx>
          <c:invertIfNegative val="0"/>
          <c:val>
            <c:numRef>
              <c:f>Data!$U$5:$U$12</c:f>
              <c:numCache>
                <c:formatCode>_(* #,##0.00_);_(* \(#,##0.00\);_(* "-"??_);_(@_)</c:formatCode>
                <c:ptCount val="8"/>
                <c:pt idx="0">
                  <c:v>80.723437499999989</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8-5BBA-4D2C-BC27-0C3FD49E2BEA}"/>
            </c:ext>
          </c:extLst>
        </c:ser>
        <c:ser>
          <c:idx val="9"/>
          <c:order val="9"/>
          <c:tx>
            <c:strRef>
              <c:f>Data!$I$4</c:f>
              <c:strCache>
                <c:ptCount val="1"/>
                <c:pt idx="0">
                  <c:v>Cleaning costs</c:v>
                </c:pt>
              </c:strCache>
            </c:strRef>
          </c:tx>
          <c:invertIfNegative val="0"/>
          <c:val>
            <c:numRef>
              <c:f>Data!$I$5:$I$12</c:f>
              <c:numCache>
                <c:formatCode>_(* #,##0.00_);_(* \(#,##0.00\);_(* "-"??_);_(@_)</c:formatCode>
                <c:ptCount val="8"/>
                <c:pt idx="0">
                  <c:v>100.68531249999999</c:v>
                </c:pt>
                <c:pt idx="1">
                  <c:v>0</c:v>
                </c:pt>
                <c:pt idx="2">
                  <c:v>0</c:v>
                </c:pt>
                <c:pt idx="3">
                  <c:v>0</c:v>
                </c:pt>
                <c:pt idx="4">
                  <c:v>0</c:v>
                </c:pt>
                <c:pt idx="5">
                  <c:v>0</c:v>
                </c:pt>
                <c:pt idx="6">
                  <c:v>0</c:v>
                </c:pt>
                <c:pt idx="7">
                  <c:v>196.38172413793106</c:v>
                </c:pt>
              </c:numCache>
            </c:numRef>
          </c:val>
          <c:extLst>
            <c:ext xmlns:c16="http://schemas.microsoft.com/office/drawing/2014/chart" uri="{C3380CC4-5D6E-409C-BE32-E72D297353CC}">
              <c16:uniqueId val="{00000009-5BBA-4D2C-BC27-0C3FD49E2BEA}"/>
            </c:ext>
          </c:extLst>
        </c:ser>
        <c:dLbls>
          <c:showLegendKey val="0"/>
          <c:showVal val="0"/>
          <c:showCatName val="0"/>
          <c:showSerName val="0"/>
          <c:showPercent val="0"/>
          <c:showBubbleSize val="0"/>
        </c:dLbls>
        <c:gapWidth val="150"/>
        <c:overlap val="100"/>
        <c:axId val="232202704"/>
        <c:axId val="1"/>
      </c:barChart>
      <c:catAx>
        <c:axId val="232202704"/>
        <c:scaling>
          <c:orientation val="minMax"/>
        </c:scaling>
        <c:delete val="0"/>
        <c:axPos val="b"/>
        <c:title>
          <c:tx>
            <c:rich>
              <a:bodyPr/>
              <a:lstStyle/>
              <a:p>
                <a:pPr>
                  <a:defRPr sz="9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900" b="1" i="0" u="none" strike="noStrike" baseline="0">
                    <a:solidFill>
                      <a:srgbClr val="000000"/>
                    </a:solidFill>
                    <a:latin typeface="Calibri"/>
                    <a:ea typeface="Calibri"/>
                    <a:cs typeface="Calibri"/>
                  </a:defRPr>
                </a:pPr>
                <a:r>
                  <a:rPr lang="en-GB"/>
                  <a:t>cost per pupil (£)</a:t>
                </a:r>
              </a:p>
            </c:rich>
          </c:tx>
          <c:overlay val="0"/>
        </c:title>
        <c:numFmt formatCode="_(* #,##0.00_);_(* \(#,##0.00\);_(* &quot;-&quot;??_);_(@_)"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232202704"/>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layout>
        <c:manualLayout>
          <c:xMode val="edge"/>
          <c:yMode val="edge"/>
          <c:x val="0.9003402352483717"/>
          <c:y val="0.37502561511361882"/>
          <c:w val="9.8537430295960474E-2"/>
          <c:h val="0.30080424438923742"/>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printSettings>
    <c:headerFooter/>
    <c:pageMargins b="0.74803149606299213" l="0.70866141732283472" r="0.70866141732283472" t="0.74803149606299213" header="0.31496062992125984" footer="0.31496062992125984"/>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590550</xdr:colOff>
      <xdr:row>7</xdr:row>
      <xdr:rowOff>19050</xdr:rowOff>
    </xdr:from>
    <xdr:to>
      <xdr:col>8</xdr:col>
      <xdr:colOff>38100</xdr:colOff>
      <xdr:row>44</xdr:row>
      <xdr:rowOff>171450</xdr:rowOff>
    </xdr:to>
    <xdr:graphicFrame macro="">
      <xdr:nvGraphicFramePr>
        <xdr:cNvPr id="1061" name="Chart 3" descr="Monetary graph whose results change depending on category and comparator selected">
          <a:extLst>
            <a:ext uri="{FF2B5EF4-FFF2-40B4-BE49-F238E27FC236}">
              <a16:creationId xmlns:a16="http://schemas.microsoft.com/office/drawing/2014/main" id="{0B961B95-66C2-4CF2-9564-3C73CCBF02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28575</xdr:colOff>
      <xdr:row>5</xdr:row>
      <xdr:rowOff>66675</xdr:rowOff>
    </xdr:from>
    <xdr:to>
      <xdr:col>8</xdr:col>
      <xdr:colOff>352425</xdr:colOff>
      <xdr:row>42</xdr:row>
      <xdr:rowOff>114300</xdr:rowOff>
    </xdr:to>
    <xdr:graphicFrame macro="">
      <xdr:nvGraphicFramePr>
        <xdr:cNvPr id="2082" name="Chart 3" descr="Percentage graph whose results change depending on category and comparator selected">
          <a:extLst>
            <a:ext uri="{FF2B5EF4-FFF2-40B4-BE49-F238E27FC236}">
              <a16:creationId xmlns:a16="http://schemas.microsoft.com/office/drawing/2014/main" id="{9689754A-C99A-493F-931B-0011EAA640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285750</xdr:colOff>
      <xdr:row>0</xdr:row>
      <xdr:rowOff>19050</xdr:rowOff>
    </xdr:from>
    <xdr:to>
      <xdr:col>18</xdr:col>
      <xdr:colOff>514350</xdr:colOff>
      <xdr:row>37</xdr:row>
      <xdr:rowOff>152400</xdr:rowOff>
    </xdr:to>
    <xdr:graphicFrame macro="">
      <xdr:nvGraphicFramePr>
        <xdr:cNvPr id="3104" name="Chart 1" descr="Utility cost per pupil">
          <a:extLst>
            <a:ext uri="{FF2B5EF4-FFF2-40B4-BE49-F238E27FC236}">
              <a16:creationId xmlns:a16="http://schemas.microsoft.com/office/drawing/2014/main" id="{23DA92EF-D5C5-4B17-BF49-5DCEAFDED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0</xdr:row>
      <xdr:rowOff>28575</xdr:rowOff>
    </xdr:from>
    <xdr:to>
      <xdr:col>18</xdr:col>
      <xdr:colOff>457200</xdr:colOff>
      <xdr:row>37</xdr:row>
      <xdr:rowOff>104775</xdr:rowOff>
    </xdr:to>
    <xdr:graphicFrame macro="">
      <xdr:nvGraphicFramePr>
        <xdr:cNvPr id="4128" name="Chart 1" descr="Teaching cost per pupil">
          <a:extLst>
            <a:ext uri="{FF2B5EF4-FFF2-40B4-BE49-F238E27FC236}">
              <a16:creationId xmlns:a16="http://schemas.microsoft.com/office/drawing/2014/main" id="{6771D154-F57E-47FF-81D7-354B70BA7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38100</xdr:rowOff>
    </xdr:from>
    <xdr:to>
      <xdr:col>18</xdr:col>
      <xdr:colOff>542925</xdr:colOff>
      <xdr:row>37</xdr:row>
      <xdr:rowOff>114300</xdr:rowOff>
    </xdr:to>
    <xdr:graphicFrame macro="">
      <xdr:nvGraphicFramePr>
        <xdr:cNvPr id="5152" name="Chart 1" descr="Support staff cost per pupil">
          <a:extLst>
            <a:ext uri="{FF2B5EF4-FFF2-40B4-BE49-F238E27FC236}">
              <a16:creationId xmlns:a16="http://schemas.microsoft.com/office/drawing/2014/main" id="{B7CEED90-BF98-4F3A-A5A6-AB33128ED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en.sellors@derbyshire.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file:///\\D-FS07\Accountants\LMS\Formbud"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showGridLines="0" tabSelected="1" workbookViewId="0">
      <selection activeCell="H11" sqref="H11"/>
    </sheetView>
  </sheetViews>
  <sheetFormatPr defaultRowHeight="15" x14ac:dyDescent="0.25"/>
  <cols>
    <col min="1" max="1" width="3.7109375" customWidth="1"/>
    <col min="2" max="2" width="3" style="16" customWidth="1"/>
    <col min="3" max="3" width="40.85546875" style="16" customWidth="1"/>
    <col min="4" max="4" width="62.28515625" style="16" customWidth="1"/>
    <col min="5" max="5" width="3.7109375" customWidth="1"/>
    <col min="6" max="6" width="8.42578125" customWidth="1"/>
  </cols>
  <sheetData>
    <row r="1" spans="1:7" ht="26.25" x14ac:dyDescent="0.4">
      <c r="A1" s="3"/>
      <c r="B1" s="100" t="s">
        <v>436</v>
      </c>
      <c r="C1" s="3"/>
      <c r="D1" s="3"/>
      <c r="E1" s="3"/>
      <c r="F1" t="s">
        <v>373</v>
      </c>
      <c r="G1" s="101" t="s">
        <v>435</v>
      </c>
    </row>
    <row r="2" spans="1:7" x14ac:dyDescent="0.25">
      <c r="A2" s="3"/>
      <c r="B2" s="3"/>
      <c r="C2" s="3"/>
      <c r="D2" s="3"/>
      <c r="E2" s="3"/>
    </row>
    <row r="3" spans="1:7" ht="18.75" x14ac:dyDescent="0.3">
      <c r="A3" s="3"/>
      <c r="B3" s="102" t="s">
        <v>374</v>
      </c>
      <c r="C3" s="3"/>
      <c r="D3" s="3"/>
      <c r="E3" s="67"/>
    </row>
    <row r="4" spans="1:7" x14ac:dyDescent="0.25">
      <c r="A4" s="3"/>
      <c r="B4" s="67"/>
      <c r="C4" s="3"/>
      <c r="D4" s="3"/>
      <c r="E4" s="67"/>
    </row>
    <row r="5" spans="1:7" x14ac:dyDescent="0.25">
      <c r="A5" s="3"/>
      <c r="B5" s="103" t="s">
        <v>331</v>
      </c>
      <c r="C5" s="3"/>
      <c r="D5" s="3"/>
      <c r="E5" s="103"/>
    </row>
    <row r="6" spans="1:7" x14ac:dyDescent="0.25">
      <c r="A6" s="3"/>
      <c r="B6" s="64" t="s">
        <v>414</v>
      </c>
      <c r="C6" s="3"/>
      <c r="D6" s="3"/>
      <c r="E6" s="64"/>
      <c r="F6" s="104"/>
      <c r="G6" s="104"/>
    </row>
    <row r="7" spans="1:7" ht="30" customHeight="1" x14ac:dyDescent="0.25">
      <c r="A7" s="3"/>
      <c r="B7" s="105" t="s">
        <v>405</v>
      </c>
      <c r="C7" s="146" t="s">
        <v>406</v>
      </c>
      <c r="D7" s="146"/>
      <c r="E7" s="106"/>
      <c r="F7" s="52"/>
      <c r="G7" s="107"/>
    </row>
    <row r="8" spans="1:7" x14ac:dyDescent="0.25">
      <c r="A8" s="3"/>
      <c r="B8" s="105" t="s">
        <v>405</v>
      </c>
      <c r="C8" s="146" t="s">
        <v>375</v>
      </c>
      <c r="D8" s="146"/>
      <c r="E8" s="65"/>
      <c r="F8" s="107"/>
      <c r="G8" s="107"/>
    </row>
    <row r="9" spans="1:7" ht="30" customHeight="1" x14ac:dyDescent="0.25">
      <c r="A9" s="3"/>
      <c r="B9" s="105" t="s">
        <v>405</v>
      </c>
      <c r="C9" s="146" t="s">
        <v>415</v>
      </c>
      <c r="D9" s="146"/>
      <c r="E9" s="106"/>
      <c r="F9" s="52"/>
      <c r="G9" s="107"/>
    </row>
    <row r="10" spans="1:7" x14ac:dyDescent="0.25">
      <c r="A10" s="3"/>
      <c r="B10" s="105" t="s">
        <v>405</v>
      </c>
      <c r="C10" s="146" t="s">
        <v>376</v>
      </c>
      <c r="D10" s="146"/>
      <c r="E10" s="64"/>
      <c r="F10" s="104"/>
      <c r="G10" s="104"/>
    </row>
    <row r="11" spans="1:7" x14ac:dyDescent="0.25">
      <c r="A11" s="3"/>
      <c r="B11" s="3"/>
      <c r="C11" s="108"/>
      <c r="D11" s="108"/>
      <c r="E11" s="3"/>
    </row>
    <row r="12" spans="1:7" x14ac:dyDescent="0.25">
      <c r="A12" s="3"/>
      <c r="B12" s="103" t="s">
        <v>332</v>
      </c>
      <c r="C12" s="108"/>
      <c r="D12" s="108"/>
      <c r="E12" s="103"/>
    </row>
    <row r="13" spans="1:7" ht="15" customHeight="1" x14ac:dyDescent="0.25">
      <c r="A13" s="3"/>
      <c r="B13" s="64" t="s">
        <v>407</v>
      </c>
      <c r="C13" s="108"/>
      <c r="D13" s="108"/>
      <c r="E13" s="103"/>
    </row>
    <row r="14" spans="1:7" ht="15" customHeight="1" x14ac:dyDescent="0.25">
      <c r="A14" s="3"/>
      <c r="B14" s="64" t="s">
        <v>416</v>
      </c>
      <c r="C14" s="108"/>
      <c r="D14" s="108"/>
      <c r="E14" s="103"/>
    </row>
    <row r="15" spans="1:7" ht="30" customHeight="1" x14ac:dyDescent="0.25">
      <c r="A15" s="3"/>
      <c r="B15" s="105" t="s">
        <v>405</v>
      </c>
      <c r="C15" s="146" t="s">
        <v>408</v>
      </c>
      <c r="D15" s="146"/>
      <c r="E15" s="65"/>
      <c r="F15" s="107"/>
      <c r="G15" s="107"/>
    </row>
    <row r="16" spans="1:7" x14ac:dyDescent="0.25">
      <c r="A16" s="3"/>
      <c r="B16" s="105" t="s">
        <v>405</v>
      </c>
      <c r="C16" s="146" t="s">
        <v>375</v>
      </c>
      <c r="D16" s="146"/>
      <c r="E16" s="65"/>
      <c r="F16" s="107"/>
      <c r="G16" s="107"/>
    </row>
    <row r="17" spans="1:7" x14ac:dyDescent="0.25">
      <c r="A17" s="3"/>
      <c r="B17" s="105" t="s">
        <v>405</v>
      </c>
      <c r="C17" s="146" t="s">
        <v>377</v>
      </c>
      <c r="D17" s="146"/>
      <c r="E17" s="64"/>
      <c r="F17" s="104"/>
      <c r="G17" s="104"/>
    </row>
    <row r="18" spans="1:7" x14ac:dyDescent="0.25">
      <c r="A18" s="3"/>
      <c r="B18" s="3"/>
      <c r="C18" s="108"/>
      <c r="D18" s="108"/>
      <c r="E18" s="3"/>
    </row>
    <row r="19" spans="1:7" x14ac:dyDescent="0.25">
      <c r="A19" s="3"/>
      <c r="B19" s="103" t="s">
        <v>333</v>
      </c>
      <c r="C19" s="108"/>
      <c r="D19" s="108"/>
      <c r="E19" s="103"/>
    </row>
    <row r="20" spans="1:7" x14ac:dyDescent="0.25">
      <c r="A20" s="3"/>
      <c r="B20" s="3" t="s">
        <v>417</v>
      </c>
      <c r="C20" s="108"/>
      <c r="D20" s="108"/>
      <c r="E20" s="103"/>
    </row>
    <row r="21" spans="1:7" x14ac:dyDescent="0.25">
      <c r="A21" s="3"/>
      <c r="B21" s="105" t="s">
        <v>405</v>
      </c>
      <c r="C21" s="146" t="s">
        <v>409</v>
      </c>
      <c r="D21" s="146"/>
      <c r="E21" s="64"/>
      <c r="F21" s="104"/>
      <c r="G21" s="104"/>
    </row>
    <row r="22" spans="1:7" x14ac:dyDescent="0.25">
      <c r="A22" s="3"/>
      <c r="B22" s="3"/>
      <c r="C22" s="108"/>
      <c r="D22" s="108"/>
      <c r="E22" s="3"/>
    </row>
    <row r="23" spans="1:7" x14ac:dyDescent="0.25">
      <c r="A23" s="3"/>
      <c r="B23" s="103" t="s">
        <v>334</v>
      </c>
      <c r="C23" s="108"/>
      <c r="D23" s="108"/>
      <c r="E23" s="103"/>
    </row>
    <row r="24" spans="1:7" x14ac:dyDescent="0.25">
      <c r="A24" s="3"/>
      <c r="B24" s="3" t="s">
        <v>417</v>
      </c>
      <c r="C24" s="108"/>
      <c r="D24" s="108"/>
      <c r="E24" s="103"/>
    </row>
    <row r="25" spans="1:7" x14ac:dyDescent="0.25">
      <c r="A25" s="3"/>
      <c r="B25" s="105" t="s">
        <v>405</v>
      </c>
      <c r="C25" s="146" t="s">
        <v>410</v>
      </c>
      <c r="D25" s="146"/>
      <c r="E25" s="64"/>
      <c r="F25" s="104"/>
      <c r="G25" s="104"/>
    </row>
    <row r="26" spans="1:7" x14ac:dyDescent="0.25">
      <c r="A26" s="3"/>
      <c r="B26" s="3"/>
      <c r="C26" s="108"/>
      <c r="D26" s="108"/>
      <c r="E26" s="3"/>
    </row>
    <row r="27" spans="1:7" x14ac:dyDescent="0.25">
      <c r="A27" s="3"/>
      <c r="B27" s="103" t="s">
        <v>335</v>
      </c>
      <c r="C27" s="108"/>
      <c r="D27" s="108"/>
      <c r="E27" s="103"/>
    </row>
    <row r="28" spans="1:7" x14ac:dyDescent="0.25">
      <c r="A28" s="3"/>
      <c r="B28" s="3" t="s">
        <v>417</v>
      </c>
      <c r="C28" s="108"/>
      <c r="D28" s="108"/>
      <c r="E28" s="103"/>
    </row>
    <row r="29" spans="1:7" x14ac:dyDescent="0.25">
      <c r="A29" s="3"/>
      <c r="B29" s="105" t="s">
        <v>405</v>
      </c>
      <c r="C29" s="146" t="s">
        <v>411</v>
      </c>
      <c r="D29" s="146"/>
      <c r="E29" s="64"/>
      <c r="F29" s="104"/>
      <c r="G29" s="104"/>
    </row>
    <row r="30" spans="1:7" x14ac:dyDescent="0.25">
      <c r="A30" s="3"/>
      <c r="B30" s="3"/>
      <c r="C30" s="3"/>
      <c r="D30" s="3"/>
      <c r="E30" s="3"/>
    </row>
    <row r="31" spans="1:7" x14ac:dyDescent="0.25">
      <c r="A31" s="3"/>
      <c r="B31" s="3" t="s">
        <v>412</v>
      </c>
      <c r="C31" s="3"/>
      <c r="D31" s="50" t="s">
        <v>413</v>
      </c>
      <c r="E31" s="3"/>
    </row>
    <row r="32" spans="1:7" x14ac:dyDescent="0.25">
      <c r="A32" s="3"/>
      <c r="B32" s="3"/>
      <c r="C32" s="3"/>
      <c r="D32" s="3"/>
      <c r="E32" s="3"/>
    </row>
  </sheetData>
  <sheetProtection selectLockedCells="1"/>
  <mergeCells count="10">
    <mergeCell ref="C17:D17"/>
    <mergeCell ref="C21:D21"/>
    <mergeCell ref="C25:D25"/>
    <mergeCell ref="C29:D29"/>
    <mergeCell ref="C7:D7"/>
    <mergeCell ref="C8:D8"/>
    <mergeCell ref="C9:D9"/>
    <mergeCell ref="C10:D10"/>
    <mergeCell ref="C15:D15"/>
    <mergeCell ref="C16:D16"/>
  </mergeCells>
  <hyperlinks>
    <hyperlink ref="D31" r:id="rId1" xr:uid="{61CA4853-72FF-4CE4-87AD-D324524CA859}"/>
  </hyperlinks>
  <pageMargins left="0.70866141732283472" right="0.70866141732283472" top="0.74803149606299213" bottom="0.74803149606299213" header="0.31496062992125984" footer="0.31496062992125984"/>
  <pageSetup paperSize="9" scale="74" orientation="portrait" r:id="rId2"/>
  <headerFooter>
    <oddHeader>&amp;R&amp;"Arial,Regular"&amp;13Public</oddHeader>
    <oddFooter>&amp;C_x000D_&amp;1#&amp;"Calibri"&amp;10&amp;K000000 CONTROLLED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03"/>
  <sheetViews>
    <sheetView showGridLines="0" workbookViewId="0">
      <selection activeCell="G3" sqref="G3"/>
    </sheetView>
  </sheetViews>
  <sheetFormatPr defaultRowHeight="15" x14ac:dyDescent="0.25"/>
  <cols>
    <col min="2" max="2" width="16.7109375" customWidth="1"/>
    <col min="3" max="3" width="6.28515625" customWidth="1"/>
    <col min="4" max="4" width="11.42578125" customWidth="1"/>
    <col min="5" max="5" width="39.85546875" customWidth="1"/>
    <col min="6" max="6" width="9.85546875" customWidth="1"/>
    <col min="7" max="7" width="25.5703125" customWidth="1"/>
    <col min="8" max="8" width="9.28515625" customWidth="1"/>
    <col min="9" max="9" width="5.5703125" customWidth="1"/>
    <col min="10" max="10" width="9.28515625" style="18" customWidth="1"/>
    <col min="11" max="11" width="26.5703125" hidden="1" customWidth="1"/>
    <col min="12" max="12" width="16.140625" customWidth="1"/>
  </cols>
  <sheetData>
    <row r="1" spans="1:12" ht="18.75" x14ac:dyDescent="0.3">
      <c r="A1" s="66" t="str">
        <f>'Information page'!B1</f>
        <v>Nursery Schools Benchmarking 2024-25</v>
      </c>
      <c r="B1" s="66"/>
      <c r="C1" s="66"/>
      <c r="D1" s="66"/>
      <c r="E1" s="66"/>
      <c r="F1" s="66"/>
      <c r="G1" s="66"/>
      <c r="H1" s="66"/>
      <c r="I1" s="66"/>
      <c r="J1" s="66"/>
      <c r="K1" s="47"/>
      <c r="L1" s="48" t="s">
        <v>433</v>
      </c>
    </row>
    <row r="2" spans="1:12" ht="9" customHeight="1" x14ac:dyDescent="0.25">
      <c r="A2" s="3"/>
      <c r="B2" s="4"/>
      <c r="C2" s="4"/>
      <c r="D2" s="4"/>
      <c r="E2" s="4"/>
      <c r="F2" s="4"/>
      <c r="G2" s="4"/>
      <c r="H2" s="4"/>
      <c r="I2" s="4"/>
      <c r="J2" s="4"/>
      <c r="K2" s="49"/>
      <c r="L2" s="5"/>
    </row>
    <row r="3" spans="1:12" x14ac:dyDescent="0.25">
      <c r="A3" s="3"/>
      <c r="B3" s="3"/>
      <c r="C3" s="3"/>
      <c r="D3" s="3"/>
      <c r="E3" s="3"/>
      <c r="F3" s="7" t="s">
        <v>429</v>
      </c>
      <c r="G3" s="145" t="s">
        <v>0</v>
      </c>
      <c r="H3" s="3"/>
      <c r="I3" s="3"/>
      <c r="J3" s="6"/>
      <c r="K3" s="45"/>
      <c r="L3" t="str">
        <f>G3</f>
        <v>Admin</v>
      </c>
    </row>
    <row r="4" spans="1:12" x14ac:dyDescent="0.25">
      <c r="A4" s="3"/>
      <c r="B4" s="3"/>
      <c r="C4" s="3"/>
      <c r="D4" s="3"/>
      <c r="E4" s="3"/>
      <c r="F4" s="3"/>
      <c r="G4" s="3"/>
      <c r="H4" s="3"/>
      <c r="I4" s="3"/>
      <c r="J4" s="6"/>
      <c r="K4" s="45"/>
    </row>
    <row r="5" spans="1:12" x14ac:dyDescent="0.25">
      <c r="A5" s="3"/>
      <c r="B5" s="3"/>
      <c r="C5" s="3"/>
      <c r="D5" s="3"/>
      <c r="E5" s="3"/>
      <c r="F5" s="7" t="s">
        <v>430</v>
      </c>
      <c r="G5" s="145" t="s">
        <v>418</v>
      </c>
      <c r="H5" s="3"/>
      <c r="I5" s="3"/>
      <c r="J5" s="6"/>
      <c r="K5" s="123" t="str">
        <f>L3</f>
        <v>Admin</v>
      </c>
      <c r="L5" t="str">
        <f>_xlfn.XLOOKUP(K5,Lookup!A:A,Lookup!B:B,"")</f>
        <v xml:space="preserve">   110900  General Basic Pay</v>
      </c>
    </row>
    <row r="6" spans="1:12" x14ac:dyDescent="0.25">
      <c r="A6" s="3"/>
      <c r="B6" s="3"/>
      <c r="C6" s="3"/>
      <c r="D6" s="3"/>
      <c r="E6" s="7"/>
      <c r="F6" s="39"/>
      <c r="G6" s="3"/>
      <c r="H6" s="3"/>
      <c r="I6" s="3"/>
      <c r="J6" s="6"/>
      <c r="K6" s="123" t="str">
        <f>K5&amp;"1"</f>
        <v>Admin1</v>
      </c>
      <c r="L6" t="str">
        <f>_xlfn.XLOOKUP(K6,Lookup!A:A,Lookup!B:B,"")</f>
        <v xml:space="preserve">   110901  General Nat Ins</v>
      </c>
    </row>
    <row r="7" spans="1:12" x14ac:dyDescent="0.25">
      <c r="A7" s="3"/>
      <c r="B7" s="147" t="str">
        <f>G3&amp;" cost "&amp;C62</f>
        <v>Admin cost per pupil</v>
      </c>
      <c r="C7" s="147"/>
      <c r="D7" s="147"/>
      <c r="E7" s="147"/>
      <c r="F7" s="147"/>
      <c r="G7" s="147"/>
      <c r="H7" s="147"/>
      <c r="I7" s="147"/>
      <c r="J7" s="6"/>
      <c r="K7" s="123" t="str">
        <f>K5&amp;"2"</f>
        <v>Admin2</v>
      </c>
      <c r="L7" t="str">
        <f>_xlfn.XLOOKUP(K7,Lookup!A:A,Lookup!B:B,"")</f>
        <v xml:space="preserve">   110902  General Pension</v>
      </c>
    </row>
    <row r="8" spans="1:12" x14ac:dyDescent="0.25">
      <c r="A8" s="3"/>
      <c r="B8" s="3"/>
      <c r="C8" s="3"/>
      <c r="D8" s="3"/>
      <c r="E8" s="3"/>
      <c r="F8" s="3"/>
      <c r="G8" s="3"/>
      <c r="H8" s="3"/>
      <c r="I8" s="3"/>
      <c r="J8" s="6"/>
      <c r="K8" s="123" t="str">
        <f>K5&amp;"3"</f>
        <v>Admin3</v>
      </c>
      <c r="L8" t="str">
        <f>_xlfn.XLOOKUP(K8,Lookup!A:A,Lookup!B:B,"")</f>
        <v xml:space="preserve">   110905  General Overtime</v>
      </c>
    </row>
    <row r="9" spans="1:12" x14ac:dyDescent="0.25">
      <c r="A9" s="3"/>
      <c r="B9" s="3"/>
      <c r="C9" s="3"/>
      <c r="D9" s="3"/>
      <c r="E9" s="3"/>
      <c r="F9" s="3"/>
      <c r="G9" s="3"/>
      <c r="H9" s="3"/>
      <c r="I9" s="3"/>
      <c r="J9" s="6"/>
      <c r="K9" s="123" t="str">
        <f>K5&amp;"4"</f>
        <v>Admin4</v>
      </c>
      <c r="L9" t="str">
        <f>_xlfn.XLOOKUP(K9,Lookup!A:A,Lookup!B:B,"")</f>
        <v xml:space="preserve">   110910  General Sick</v>
      </c>
    </row>
    <row r="10" spans="1:12" x14ac:dyDescent="0.25">
      <c r="A10" s="3"/>
      <c r="B10" s="3"/>
      <c r="C10" s="3"/>
      <c r="D10" s="3"/>
      <c r="E10" s="3"/>
      <c r="F10" s="3"/>
      <c r="G10" s="3"/>
      <c r="H10" s="3"/>
      <c r="I10" s="3"/>
      <c r="J10" s="6"/>
      <c r="K10" s="123" t="str">
        <f>K5&amp;"5"</f>
        <v>Admin5</v>
      </c>
      <c r="L10" t="str">
        <f>_xlfn.XLOOKUP(K10,Lookup!A:A,Lookup!B:B,"")</f>
        <v xml:space="preserve">   110915  General Allowances</v>
      </c>
    </row>
    <row r="11" spans="1:12" x14ac:dyDescent="0.25">
      <c r="A11" s="3"/>
      <c r="B11" s="3"/>
      <c r="C11" s="3"/>
      <c r="D11" s="3"/>
      <c r="E11" s="3"/>
      <c r="F11" s="3"/>
      <c r="G11" s="3"/>
      <c r="H11" s="3"/>
      <c r="I11" s="3"/>
      <c r="J11" s="6"/>
      <c r="K11" s="123" t="str">
        <f>K5&amp;"6"</f>
        <v>Admin6</v>
      </c>
      <c r="L11" t="str">
        <f>_xlfn.XLOOKUP(K11,Lookup!A:A,Lookup!B:B,"")</f>
        <v xml:space="preserve">   112500  Gen - Non SS BP</v>
      </c>
    </row>
    <row r="12" spans="1:12" x14ac:dyDescent="0.25">
      <c r="A12" s="3"/>
      <c r="B12" s="3"/>
      <c r="C12" s="3"/>
      <c r="D12" s="3"/>
      <c r="E12" s="3"/>
      <c r="F12" s="3"/>
      <c r="G12" s="3"/>
      <c r="H12" s="3"/>
      <c r="I12" s="3"/>
      <c r="J12" s="6"/>
      <c r="K12" s="123" t="str">
        <f>K5&amp;"7"</f>
        <v>Admin7</v>
      </c>
      <c r="L12" t="str">
        <f>_xlfn.XLOOKUP(K12,Lookup!A:A,Lookup!B:B,"")</f>
        <v xml:space="preserve">   112501  Gen - Non SS NI</v>
      </c>
    </row>
    <row r="13" spans="1:12" x14ac:dyDescent="0.25">
      <c r="A13" s="3"/>
      <c r="B13" s="3"/>
      <c r="C13" s="3"/>
      <c r="D13" s="3"/>
      <c r="E13" s="3"/>
      <c r="F13" s="3"/>
      <c r="G13" s="3"/>
      <c r="H13" s="3"/>
      <c r="I13" s="3"/>
      <c r="J13" s="6"/>
      <c r="K13" s="123" t="str">
        <f>K5&amp;"8"</f>
        <v>Admin8</v>
      </c>
      <c r="L13" t="str">
        <f>_xlfn.XLOOKUP(K13,Lookup!A:A,Lookup!B:B,"")</f>
        <v xml:space="preserve">   112502  Gen - Non SS Pen</v>
      </c>
    </row>
    <row r="14" spans="1:12" x14ac:dyDescent="0.25">
      <c r="A14" s="3"/>
      <c r="B14" s="3"/>
      <c r="C14" s="3"/>
      <c r="D14" s="3"/>
      <c r="E14" s="3"/>
      <c r="F14" s="3"/>
      <c r="G14" s="3"/>
      <c r="H14" s="3"/>
      <c r="I14" s="3"/>
      <c r="J14" s="6"/>
      <c r="K14" s="123" t="str">
        <f>K5&amp;"9"</f>
        <v>Admin9</v>
      </c>
      <c r="L14" t="str">
        <f>_xlfn.XLOOKUP(K14,Lookup!A:A,Lookup!B:B,"")</f>
        <v xml:space="preserve">   112505  Gen - Non SS OT</v>
      </c>
    </row>
    <row r="15" spans="1:12" x14ac:dyDescent="0.25">
      <c r="A15" s="3"/>
      <c r="B15" s="3"/>
      <c r="C15" s="3"/>
      <c r="D15" s="3"/>
      <c r="E15" s="3"/>
      <c r="F15" s="3"/>
      <c r="G15" s="3"/>
      <c r="H15" s="3"/>
      <c r="I15" s="3"/>
      <c r="J15" s="6"/>
      <c r="K15" s="123" t="str">
        <f>K5&amp;"10"</f>
        <v>Admin10</v>
      </c>
      <c r="L15" t="str">
        <f>_xlfn.XLOOKUP(K15,Lookup!A:A,Lookup!B:B,"")</f>
        <v xml:space="preserve">   112506  Gen - Non SS Relief</v>
      </c>
    </row>
    <row r="16" spans="1:12" x14ac:dyDescent="0.25">
      <c r="A16" s="3"/>
      <c r="B16" s="3"/>
      <c r="C16" s="3"/>
      <c r="D16" s="3"/>
      <c r="E16" s="3"/>
      <c r="F16" s="3"/>
      <c r="G16" s="3"/>
      <c r="H16" s="3"/>
      <c r="I16" s="3"/>
      <c r="J16" s="6"/>
      <c r="K16" s="123" t="str">
        <f>K5&amp;"11"</f>
        <v>Admin11</v>
      </c>
      <c r="L16" t="str">
        <f>_xlfn.XLOOKUP(K16,Lookup!A:A,Lookup!B:B,"")</f>
        <v xml:space="preserve">   112510  Gen - Non SS SP</v>
      </c>
    </row>
    <row r="17" spans="1:12" x14ac:dyDescent="0.25">
      <c r="A17" s="3"/>
      <c r="B17" s="3"/>
      <c r="C17" s="3"/>
      <c r="D17" s="3"/>
      <c r="E17" s="3"/>
      <c r="F17" s="3"/>
      <c r="G17" s="3"/>
      <c r="H17" s="3"/>
      <c r="I17" s="3"/>
      <c r="J17" s="6"/>
      <c r="K17" s="123" t="str">
        <f>K5&amp;"12"</f>
        <v>Admin12</v>
      </c>
      <c r="L17" t="str">
        <f>_xlfn.XLOOKUP(K17,Lookup!A:A,Lookup!B:B,"")</f>
        <v xml:space="preserve">   112515  Gen - Non SS Allow</v>
      </c>
    </row>
    <row r="18" spans="1:12" x14ac:dyDescent="0.25">
      <c r="A18" s="3"/>
      <c r="B18" s="3"/>
      <c r="C18" s="3"/>
      <c r="D18" s="3"/>
      <c r="E18" s="3"/>
      <c r="F18" s="3"/>
      <c r="G18" s="3"/>
      <c r="H18" s="3"/>
      <c r="I18" s="3"/>
      <c r="J18" s="6"/>
      <c r="K18" s="123" t="str">
        <f>K5&amp;"13"</f>
        <v>Admin13</v>
      </c>
      <c r="L18" t="str">
        <f>_xlfn.XLOOKUP(K18,Lookup!A:A,Lookup!B:B,"")</f>
        <v/>
      </c>
    </row>
    <row r="19" spans="1:12" x14ac:dyDescent="0.25">
      <c r="A19" s="3"/>
      <c r="B19" s="3"/>
      <c r="C19" s="3"/>
      <c r="D19" s="3"/>
      <c r="E19" s="3"/>
      <c r="F19" s="3"/>
      <c r="G19" s="3"/>
      <c r="H19" s="3"/>
      <c r="I19" s="3"/>
      <c r="J19" s="6"/>
      <c r="K19" s="123" t="str">
        <f>K5&amp;"14"</f>
        <v>Admin14</v>
      </c>
      <c r="L19" t="str">
        <f>_xlfn.XLOOKUP(K19,Lookup!A:A,Lookup!B:B,"")</f>
        <v/>
      </c>
    </row>
    <row r="20" spans="1:12" x14ac:dyDescent="0.25">
      <c r="A20" s="3"/>
      <c r="B20" s="3"/>
      <c r="C20" s="3"/>
      <c r="D20" s="3"/>
      <c r="E20" s="3"/>
      <c r="F20" s="3"/>
      <c r="G20" s="3"/>
      <c r="H20" s="3"/>
      <c r="I20" s="3"/>
      <c r="J20" s="6"/>
      <c r="K20" s="123" t="str">
        <f>K5&amp;"15"</f>
        <v>Admin15</v>
      </c>
      <c r="L20" t="str">
        <f>_xlfn.XLOOKUP(K20,Lookup!A:A,Lookup!B:B,"")</f>
        <v/>
      </c>
    </row>
    <row r="21" spans="1:12" x14ac:dyDescent="0.25">
      <c r="A21" s="3"/>
      <c r="B21" s="3"/>
      <c r="C21" s="3"/>
      <c r="D21" s="3"/>
      <c r="E21" s="3"/>
      <c r="F21" s="3"/>
      <c r="G21" s="3"/>
      <c r="H21" s="3"/>
      <c r="I21" s="3"/>
      <c r="J21" s="6"/>
      <c r="K21" s="123" t="str">
        <f>K5&amp;"16"</f>
        <v>Admin16</v>
      </c>
      <c r="L21" t="str">
        <f>_xlfn.XLOOKUP(K21,Lookup!A:A,Lookup!B:B,"")</f>
        <v/>
      </c>
    </row>
    <row r="22" spans="1:12" x14ac:dyDescent="0.25">
      <c r="A22" s="3"/>
      <c r="B22" s="3"/>
      <c r="C22" s="3"/>
      <c r="D22" s="3"/>
      <c r="E22" s="3"/>
      <c r="F22" s="3"/>
      <c r="G22" s="3"/>
      <c r="H22" s="3"/>
      <c r="I22" s="3"/>
      <c r="J22" s="6"/>
      <c r="K22" s="123" t="str">
        <f>K5&amp;"17"</f>
        <v>Admin17</v>
      </c>
      <c r="L22" t="str">
        <f>_xlfn.XLOOKUP(K22,Lookup!A:A,Lookup!B:B,"")</f>
        <v/>
      </c>
    </row>
    <row r="23" spans="1:12" x14ac:dyDescent="0.25">
      <c r="A23" s="3"/>
      <c r="B23" s="3"/>
      <c r="C23" s="3"/>
      <c r="D23" s="3"/>
      <c r="E23" s="3"/>
      <c r="F23" s="3"/>
      <c r="G23" s="3"/>
      <c r="H23" s="3"/>
      <c r="I23" s="3"/>
      <c r="J23" s="6"/>
      <c r="K23" s="123" t="str">
        <f>K5&amp;"18"</f>
        <v>Admin18</v>
      </c>
      <c r="L23" t="str">
        <f>_xlfn.XLOOKUP(K23,Lookup!A:A,Lookup!B:B,"")</f>
        <v/>
      </c>
    </row>
    <row r="24" spans="1:12" x14ac:dyDescent="0.25">
      <c r="A24" s="3"/>
      <c r="B24" s="3"/>
      <c r="C24" s="3"/>
      <c r="D24" s="3"/>
      <c r="E24" s="3"/>
      <c r="F24" s="3"/>
      <c r="G24" s="3"/>
      <c r="H24" s="3"/>
      <c r="I24" s="3"/>
      <c r="J24" s="6"/>
      <c r="K24" s="123" t="str">
        <f>K5&amp;"19"</f>
        <v>Admin19</v>
      </c>
      <c r="L24" t="str">
        <f>_xlfn.XLOOKUP(K24,Lookup!A:A,Lookup!B:B,"")</f>
        <v/>
      </c>
    </row>
    <row r="25" spans="1:12" x14ac:dyDescent="0.25">
      <c r="A25" s="3"/>
      <c r="B25" s="3"/>
      <c r="C25" s="3"/>
      <c r="D25" s="3"/>
      <c r="E25" s="3"/>
      <c r="F25" s="3"/>
      <c r="G25" s="3"/>
      <c r="H25" s="3"/>
      <c r="I25" s="3"/>
      <c r="J25" s="6"/>
    </row>
    <row r="26" spans="1:12" x14ac:dyDescent="0.25">
      <c r="A26" s="3"/>
      <c r="B26" s="3"/>
      <c r="C26" s="3"/>
      <c r="D26" s="3"/>
      <c r="E26" s="3"/>
      <c r="F26" s="3"/>
      <c r="G26" s="3"/>
      <c r="H26" s="3"/>
      <c r="I26" s="3"/>
      <c r="J26" s="6"/>
    </row>
    <row r="27" spans="1:12" x14ac:dyDescent="0.25">
      <c r="A27" s="3"/>
      <c r="B27" s="3"/>
      <c r="C27" s="3"/>
      <c r="D27" s="3"/>
      <c r="E27" s="3"/>
      <c r="F27" s="3"/>
      <c r="G27" s="3"/>
      <c r="H27" s="3"/>
      <c r="I27" s="3"/>
      <c r="J27" s="6"/>
    </row>
    <row r="28" spans="1:12" x14ac:dyDescent="0.25">
      <c r="A28" s="3"/>
      <c r="B28" s="3"/>
      <c r="C28" s="3"/>
      <c r="D28" s="3"/>
      <c r="E28" s="3"/>
      <c r="F28" s="3"/>
      <c r="G28" s="3"/>
      <c r="H28" s="3"/>
      <c r="I28" s="3"/>
      <c r="J28" s="6"/>
    </row>
    <row r="29" spans="1:12" x14ac:dyDescent="0.25">
      <c r="A29" s="3"/>
      <c r="B29" s="3"/>
      <c r="C29" s="3"/>
      <c r="D29" s="3"/>
      <c r="E29" s="3"/>
      <c r="F29" s="3"/>
      <c r="G29" s="3"/>
      <c r="H29" s="3"/>
      <c r="I29" s="3"/>
      <c r="J29" s="6"/>
    </row>
    <row r="30" spans="1:12" x14ac:dyDescent="0.25">
      <c r="A30" s="3"/>
      <c r="B30" s="3"/>
      <c r="C30" s="3"/>
      <c r="D30" s="3"/>
      <c r="E30" s="3"/>
      <c r="F30" s="3"/>
      <c r="G30" s="3"/>
      <c r="H30" s="3"/>
      <c r="I30" s="3"/>
      <c r="J30" s="6"/>
    </row>
    <row r="31" spans="1:12" x14ac:dyDescent="0.25">
      <c r="A31" s="3"/>
      <c r="B31" s="3"/>
      <c r="C31" s="3"/>
      <c r="D31" s="3"/>
      <c r="E31" s="3"/>
      <c r="F31" s="3"/>
      <c r="G31" s="3"/>
      <c r="H31" s="3"/>
      <c r="I31" s="3"/>
      <c r="J31" s="6"/>
    </row>
    <row r="32" spans="1:12" x14ac:dyDescent="0.25">
      <c r="A32" s="3"/>
      <c r="B32" s="3"/>
      <c r="C32" s="3"/>
      <c r="D32" s="3"/>
      <c r="E32" s="3"/>
      <c r="F32" s="3"/>
      <c r="G32" s="3"/>
      <c r="H32" s="3"/>
      <c r="I32" s="3"/>
      <c r="J32" s="6"/>
    </row>
    <row r="33" spans="1:11" x14ac:dyDescent="0.25">
      <c r="A33" s="3"/>
      <c r="B33" s="3"/>
      <c r="C33" s="3"/>
      <c r="D33" s="3"/>
      <c r="E33" s="3"/>
      <c r="F33" s="3"/>
      <c r="G33" s="3"/>
      <c r="H33" s="3"/>
      <c r="I33" s="3"/>
      <c r="J33" s="6"/>
    </row>
    <row r="34" spans="1:11" x14ac:dyDescent="0.25">
      <c r="A34" s="3"/>
      <c r="B34" s="3"/>
      <c r="C34" s="3"/>
      <c r="D34" s="3"/>
      <c r="E34" s="3"/>
      <c r="F34" s="3"/>
      <c r="G34" s="3"/>
      <c r="H34" s="3"/>
      <c r="I34" s="3"/>
      <c r="J34" s="6"/>
    </row>
    <row r="35" spans="1:11" x14ac:dyDescent="0.25">
      <c r="A35" s="3"/>
      <c r="B35" s="3"/>
      <c r="C35" s="3"/>
      <c r="D35" s="3"/>
      <c r="E35" s="3"/>
      <c r="F35" s="3"/>
      <c r="G35" s="3"/>
      <c r="H35" s="3"/>
      <c r="I35" s="3"/>
      <c r="J35" s="6"/>
    </row>
    <row r="36" spans="1:11" x14ac:dyDescent="0.25">
      <c r="A36" s="3"/>
      <c r="B36" s="3"/>
      <c r="C36" s="3"/>
      <c r="D36" s="3"/>
      <c r="E36" s="3"/>
      <c r="F36" s="3"/>
      <c r="G36" s="3"/>
      <c r="H36" s="3"/>
      <c r="I36" s="3"/>
      <c r="J36" s="6"/>
    </row>
    <row r="37" spans="1:11" x14ac:dyDescent="0.25">
      <c r="A37" s="3"/>
      <c r="B37" s="3"/>
      <c r="C37" s="3"/>
      <c r="D37" s="3"/>
      <c r="E37" s="3"/>
      <c r="F37" s="3"/>
      <c r="G37" s="3"/>
      <c r="H37" s="3"/>
      <c r="I37" s="3"/>
      <c r="J37" s="6"/>
    </row>
    <row r="38" spans="1:11" x14ac:dyDescent="0.25">
      <c r="A38" s="3"/>
      <c r="B38" s="3"/>
      <c r="C38" s="3"/>
      <c r="D38" s="3"/>
      <c r="E38" s="3"/>
      <c r="F38" s="3"/>
      <c r="G38" s="3"/>
      <c r="H38" s="3"/>
      <c r="I38" s="3"/>
      <c r="J38" s="6"/>
    </row>
    <row r="39" spans="1:11" x14ac:dyDescent="0.25">
      <c r="A39" s="3"/>
      <c r="B39" s="3"/>
      <c r="C39" s="3"/>
      <c r="D39" s="3"/>
      <c r="E39" s="3"/>
      <c r="F39" s="3"/>
      <c r="G39" s="3"/>
      <c r="H39" s="3"/>
      <c r="I39" s="3"/>
      <c r="J39" s="6"/>
    </row>
    <row r="40" spans="1:11" x14ac:dyDescent="0.25">
      <c r="A40" s="3"/>
      <c r="B40" s="3"/>
      <c r="C40" s="3"/>
      <c r="D40" s="3"/>
      <c r="E40" s="3"/>
      <c r="F40" s="3"/>
      <c r="G40" s="3"/>
      <c r="H40" s="3"/>
      <c r="I40" s="3"/>
      <c r="J40" s="6"/>
    </row>
    <row r="41" spans="1:11" x14ac:dyDescent="0.25">
      <c r="A41" s="3"/>
      <c r="B41" s="3"/>
      <c r="C41" s="3"/>
      <c r="D41" s="3"/>
      <c r="E41" s="3"/>
      <c r="F41" s="3"/>
      <c r="G41" s="3"/>
      <c r="H41" s="3"/>
      <c r="I41" s="3"/>
      <c r="J41" s="6"/>
    </row>
    <row r="42" spans="1:11" x14ac:dyDescent="0.25">
      <c r="A42" s="3"/>
      <c r="B42" s="3"/>
      <c r="C42" s="3"/>
      <c r="D42" s="3"/>
      <c r="E42" s="3"/>
      <c r="F42" s="3"/>
      <c r="G42" s="3"/>
      <c r="H42" s="3"/>
      <c r="I42" s="3"/>
      <c r="J42" s="6"/>
    </row>
    <row r="43" spans="1:11" x14ac:dyDescent="0.25">
      <c r="A43" s="3"/>
      <c r="B43" s="3"/>
      <c r="C43" s="3"/>
      <c r="D43" s="3"/>
      <c r="E43" s="3"/>
      <c r="F43" s="3"/>
      <c r="G43" s="3"/>
      <c r="H43" s="3"/>
      <c r="I43" s="3"/>
      <c r="J43" s="6"/>
    </row>
    <row r="44" spans="1:11" x14ac:dyDescent="0.25">
      <c r="A44" s="3"/>
      <c r="B44" s="3"/>
      <c r="C44" s="3"/>
      <c r="D44" s="3"/>
      <c r="E44" s="3"/>
      <c r="F44" s="3"/>
      <c r="G44" s="3"/>
      <c r="H44" s="3"/>
      <c r="I44" s="3"/>
      <c r="J44" s="6"/>
    </row>
    <row r="45" spans="1:11" x14ac:dyDescent="0.25">
      <c r="A45" s="3"/>
      <c r="B45" s="3"/>
      <c r="C45" s="3"/>
      <c r="D45" s="3"/>
      <c r="E45" s="3"/>
      <c r="F45" s="3"/>
      <c r="G45" s="3"/>
      <c r="H45" s="3"/>
      <c r="I45" s="3"/>
      <c r="J45" s="6"/>
    </row>
    <row r="46" spans="1:11" x14ac:dyDescent="0.25">
      <c r="A46" s="3"/>
      <c r="B46" s="3"/>
      <c r="C46" s="3"/>
      <c r="D46" s="3"/>
      <c r="E46" s="3"/>
      <c r="F46" s="3"/>
      <c r="G46" s="3"/>
      <c r="H46" s="3"/>
      <c r="I46" s="3"/>
      <c r="J46" s="6"/>
    </row>
    <row r="47" spans="1:11" hidden="1" x14ac:dyDescent="0.25">
      <c r="A47" s="3"/>
      <c r="B47" s="8"/>
      <c r="C47" s="3"/>
      <c r="D47" s="3"/>
      <c r="E47" s="3"/>
      <c r="F47" s="3"/>
      <c r="G47" s="9"/>
      <c r="H47" s="3"/>
      <c r="I47" s="3"/>
      <c r="J47" s="6"/>
    </row>
    <row r="48" spans="1:11" ht="15" hidden="1" customHeight="1" x14ac:dyDescent="0.25">
      <c r="A48" s="3"/>
      <c r="B48" s="3"/>
      <c r="C48" s="3"/>
      <c r="D48" s="3"/>
      <c r="E48" s="3"/>
      <c r="F48" s="3"/>
      <c r="G48" s="9"/>
      <c r="H48" s="3"/>
      <c r="I48" s="9"/>
      <c r="J48" s="11"/>
      <c r="K48" s="12"/>
    </row>
    <row r="49" spans="1:11" ht="45" customHeight="1" x14ac:dyDescent="0.25">
      <c r="A49" s="3"/>
      <c r="B49" s="10"/>
      <c r="C49" s="9"/>
      <c r="D49" s="127" t="s">
        <v>17</v>
      </c>
      <c r="E49" s="128" t="s">
        <v>18</v>
      </c>
      <c r="F49" s="129" t="str">
        <f>G5</f>
        <v>Pupil number</v>
      </c>
      <c r="G49" s="127" t="str">
        <f>G3&amp;" cost "&amp;C62</f>
        <v>Admin cost per pupil</v>
      </c>
      <c r="H49" s="3"/>
      <c r="I49" s="3"/>
      <c r="J49" s="6"/>
    </row>
    <row r="50" spans="1:11" x14ac:dyDescent="0.25">
      <c r="A50" s="3"/>
      <c r="B50" s="10"/>
      <c r="C50" s="9"/>
      <c r="D50" s="130" t="s">
        <v>19</v>
      </c>
      <c r="E50" s="19" t="s">
        <v>20</v>
      </c>
      <c r="F50" s="43">
        <f>IF(ISNA(VLOOKUP(D50,Data!$A$5:$BN$12,$B$62,FALSE)),0,((VLOOKUP(D50,Data!$A$5:$BN$12,$B$62,FALSE))))</f>
        <v>64</v>
      </c>
      <c r="G50" s="124">
        <f>IF(ISNA(VLOOKUP(D50,Data!$A$5:$BN$12,$F$63,FALSE)),0,((VLOOKUP(D50,Data!$A$5:$BN$12,$F$63,FALSE))))</f>
        <v>602.42218750000006</v>
      </c>
      <c r="H50" s="3"/>
      <c r="I50" s="3"/>
      <c r="J50" s="6"/>
    </row>
    <row r="51" spans="1:11" x14ac:dyDescent="0.25">
      <c r="A51" s="3"/>
      <c r="B51" s="10"/>
      <c r="C51" s="9"/>
      <c r="D51" s="130" t="s">
        <v>21</v>
      </c>
      <c r="E51" s="19" t="s">
        <v>22</v>
      </c>
      <c r="F51" s="20">
        <f>IF(ISNA(VLOOKUP(D51,Data!$A$5:$BN$12,$B$62,FALSE)),0,((VLOOKUP(D51,Data!$A$5:$BN$12,$B$62,FALSE))))</f>
        <v>28</v>
      </c>
      <c r="G51" s="125">
        <f>IF(ISNA(VLOOKUP(D51,Data!$A$5:$BN$12,$F$63,FALSE)),0,((VLOOKUP(D51,Data!$A$5:$BN$12,$F$63,FALSE))))</f>
        <v>165.97857142857143</v>
      </c>
      <c r="H51" s="3"/>
      <c r="I51" s="3"/>
      <c r="J51" s="6"/>
    </row>
    <row r="52" spans="1:11" x14ac:dyDescent="0.25">
      <c r="A52" s="3"/>
      <c r="B52" s="10"/>
      <c r="C52" s="9"/>
      <c r="D52" s="130" t="s">
        <v>23</v>
      </c>
      <c r="E52" s="19" t="s">
        <v>24</v>
      </c>
      <c r="F52" s="20">
        <f>IF(ISNA(VLOOKUP(D52,Data!$A$5:$BN$12,$B$62,FALSE)),0,((VLOOKUP(D52,Data!$A$5:$BN$12,$B$62,FALSE))))</f>
        <v>26</v>
      </c>
      <c r="G52" s="125">
        <f>IF(ISNA(VLOOKUP(D52,Data!$A$5:$BN$12,$F$63,FALSE)),0,((VLOOKUP(D52,Data!$A$5:$BN$12,$F$63,FALSE))))</f>
        <v>1124.5350000000001</v>
      </c>
      <c r="H52" s="3"/>
      <c r="I52" s="3"/>
      <c r="J52" s="6"/>
    </row>
    <row r="53" spans="1:11" x14ac:dyDescent="0.25">
      <c r="A53" s="3"/>
      <c r="B53" s="10"/>
      <c r="C53" s="9"/>
      <c r="D53" s="131" t="s">
        <v>25</v>
      </c>
      <c r="E53" s="23" t="s">
        <v>26</v>
      </c>
      <c r="F53" s="20">
        <f>IF(ISNA(VLOOKUP(D53,Data!$A$5:$BN$12,$B$62,FALSE)),0,((VLOOKUP(D53,Data!$A$5:$BN$12,$B$62,FALSE))))</f>
        <v>84</v>
      </c>
      <c r="G53" s="125">
        <f>IF(ISNA(VLOOKUP(D53,Data!$A$5:$BN$12,$F$63,FALSE)),0,((VLOOKUP(D53,Data!$A$5:$BN$12,$F$63,FALSE))))</f>
        <v>553.44916666666654</v>
      </c>
      <c r="H53" s="3"/>
      <c r="I53" s="3"/>
      <c r="J53" s="6"/>
    </row>
    <row r="54" spans="1:11" s="16" customFormat="1" x14ac:dyDescent="0.25">
      <c r="A54" s="3"/>
      <c r="B54" s="9"/>
      <c r="C54" s="15"/>
      <c r="D54" s="131" t="s">
        <v>27</v>
      </c>
      <c r="E54" s="23" t="s">
        <v>28</v>
      </c>
      <c r="F54" s="20">
        <f>IF(ISNA(VLOOKUP(D54,Data!$A$5:$BN$12,$B$62,FALSE)),0,((VLOOKUP(D54,Data!$A$5:$BN$12,$B$62,FALSE))))</f>
        <v>26</v>
      </c>
      <c r="G54" s="125">
        <f>IF(ISNA(VLOOKUP(D54,Data!$A$5:$BN$12,$F$63,FALSE)),0,((VLOOKUP(D54,Data!$A$5:$BN$12,$F$63,FALSE))))</f>
        <v>843.00423076923084</v>
      </c>
      <c r="H54" s="3"/>
      <c r="I54" s="3"/>
      <c r="J54" s="3"/>
    </row>
    <row r="55" spans="1:11" x14ac:dyDescent="0.25">
      <c r="A55" s="3"/>
      <c r="B55" s="3"/>
      <c r="C55" s="9"/>
      <c r="D55" s="130" t="s">
        <v>29</v>
      </c>
      <c r="E55" s="19" t="s">
        <v>30</v>
      </c>
      <c r="F55" s="20">
        <f>IF(ISNA(VLOOKUP(D55,Data!$A$5:$BN$12,$B$62,FALSE)),0,((VLOOKUP(D55,Data!$A$5:$BN$12,$B$62,FALSE))))</f>
        <v>49</v>
      </c>
      <c r="G55" s="125">
        <f>IF(ISNA(VLOOKUP(D55,Data!$A$5:$BN$12,$F$63,FALSE)),0,((VLOOKUP(D55,Data!$A$5:$BN$12,$F$63,FALSE))))</f>
        <v>893.19693877550969</v>
      </c>
      <c r="H55" s="3"/>
      <c r="I55" s="3"/>
      <c r="J55" s="6"/>
    </row>
    <row r="56" spans="1:11" x14ac:dyDescent="0.25">
      <c r="A56" s="3"/>
      <c r="B56" s="9"/>
      <c r="C56" s="9"/>
      <c r="D56" s="130" t="s">
        <v>31</v>
      </c>
      <c r="E56" s="19" t="s">
        <v>32</v>
      </c>
      <c r="F56" s="20">
        <f>IF(ISNA(VLOOKUP(D56,Data!$A$5:$BN$12,$B$62,FALSE)),0,((VLOOKUP(D56,Data!$A$5:$BN$12,$B$62,FALSE))))</f>
        <v>54</v>
      </c>
      <c r="G56" s="125">
        <f>IF(ISNA(VLOOKUP(D56,Data!$A$5:$BN$12,$F$63,FALSE)),0,((VLOOKUP(D56,Data!$A$5:$BN$12,$F$63,FALSE))))</f>
        <v>787.78999999999951</v>
      </c>
      <c r="H56" s="3"/>
      <c r="I56" s="3"/>
      <c r="J56" s="6"/>
    </row>
    <row r="57" spans="1:11" x14ac:dyDescent="0.25">
      <c r="A57" s="3"/>
      <c r="B57" s="9"/>
      <c r="C57" s="9"/>
      <c r="D57" s="132" t="s">
        <v>33</v>
      </c>
      <c r="E57" s="21" t="s">
        <v>34</v>
      </c>
      <c r="F57" s="22">
        <f>IF(ISNA(VLOOKUP(D57,Data!$A$5:$BN$12,$B$62,FALSE)),0,((VLOOKUP(D57,Data!$A$5:$BN$12,$B$62,FALSE))))</f>
        <v>58</v>
      </c>
      <c r="G57" s="126">
        <f>IF(ISNA(VLOOKUP(D57,Data!$A$5:$BN$12,$F$63,FALSE)),0,((VLOOKUP(D57,Data!$A$5:$BN$12,$F$63,FALSE))))</f>
        <v>817.06137931034482</v>
      </c>
      <c r="H57" s="3"/>
      <c r="I57" s="3"/>
      <c r="J57" s="6"/>
    </row>
    <row r="58" spans="1:11" x14ac:dyDescent="0.25">
      <c r="A58" s="3"/>
      <c r="B58" s="3"/>
      <c r="C58" s="3"/>
      <c r="D58" s="3"/>
      <c r="E58" s="9"/>
      <c r="F58" s="9"/>
      <c r="G58" s="9"/>
      <c r="H58" s="14"/>
      <c r="I58" s="14"/>
      <c r="J58" s="13"/>
      <c r="K58" s="17"/>
    </row>
    <row r="59" spans="1:11" x14ac:dyDescent="0.25">
      <c r="A59" s="3"/>
      <c r="B59" s="3"/>
      <c r="C59" s="3"/>
      <c r="D59" s="3"/>
      <c r="E59" s="3"/>
      <c r="F59" s="3"/>
      <c r="G59" s="3"/>
      <c r="H59" s="3"/>
      <c r="I59" s="3"/>
      <c r="J59" s="6"/>
    </row>
    <row r="60" spans="1:11" x14ac:dyDescent="0.25">
      <c r="A60" s="3"/>
      <c r="B60" s="3"/>
      <c r="C60" s="3"/>
      <c r="D60" s="3"/>
      <c r="E60" s="3"/>
      <c r="F60" s="3"/>
      <c r="G60" s="3"/>
      <c r="H60" s="3"/>
      <c r="I60" s="3"/>
      <c r="J60" s="6"/>
    </row>
    <row r="61" spans="1:11" s="16" customFormat="1" hidden="1" x14ac:dyDescent="0.25">
      <c r="J61" s="45"/>
    </row>
    <row r="62" spans="1:11" hidden="1" x14ac:dyDescent="0.25">
      <c r="A62" s="1" t="s">
        <v>428</v>
      </c>
      <c r="B62" s="3">
        <f>_xlfn.XLOOKUP($G$5,$A$63:$A$64,$B$63:$B$64)</f>
        <v>3</v>
      </c>
      <c r="C62" s="3" t="str">
        <f>_xlfn.XLOOKUP($G$5,$A$63:$A$64,$C$63:$C$64)</f>
        <v>per pupil</v>
      </c>
    </row>
    <row r="63" spans="1:11" hidden="1" x14ac:dyDescent="0.25">
      <c r="A63" t="s">
        <v>418</v>
      </c>
      <c r="B63">
        <v>3</v>
      </c>
      <c r="C63" t="s">
        <v>66</v>
      </c>
      <c r="E63" t="str">
        <f>G5&amp;G3</f>
        <v>Pupil numberAdmin</v>
      </c>
      <c r="F63">
        <f>_xlfn.XLOOKUP(E63,E64:E103,F64:F103)</f>
        <v>4</v>
      </c>
    </row>
    <row r="64" spans="1:11" hidden="1" x14ac:dyDescent="0.25">
      <c r="A64" t="s">
        <v>36</v>
      </c>
      <c r="B64">
        <v>25</v>
      </c>
      <c r="C64" t="s">
        <v>67</v>
      </c>
      <c r="D64" s="40" t="s">
        <v>0</v>
      </c>
      <c r="E64" t="s">
        <v>37</v>
      </c>
      <c r="F64">
        <v>4</v>
      </c>
    </row>
    <row r="65" spans="4:10" hidden="1" x14ac:dyDescent="0.25">
      <c r="D65" s="41" t="s">
        <v>68</v>
      </c>
      <c r="E65" t="s">
        <v>72</v>
      </c>
      <c r="F65">
        <v>5</v>
      </c>
      <c r="I65" s="18"/>
      <c r="J65"/>
    </row>
    <row r="66" spans="4:10" hidden="1" x14ac:dyDescent="0.25">
      <c r="D66" s="41" t="s">
        <v>1</v>
      </c>
      <c r="E66" t="s">
        <v>73</v>
      </c>
      <c r="F66">
        <v>6</v>
      </c>
      <c r="I66" s="18"/>
      <c r="J66"/>
    </row>
    <row r="67" spans="4:10" hidden="1" x14ac:dyDescent="0.25">
      <c r="D67" s="41" t="s">
        <v>15</v>
      </c>
      <c r="E67" t="s">
        <v>38</v>
      </c>
      <c r="F67">
        <v>7</v>
      </c>
      <c r="I67" s="18"/>
      <c r="J67"/>
    </row>
    <row r="68" spans="4:10" hidden="1" x14ac:dyDescent="0.25">
      <c r="D68" s="41" t="s">
        <v>69</v>
      </c>
      <c r="E68" t="s">
        <v>74</v>
      </c>
      <c r="F68">
        <v>8</v>
      </c>
      <c r="I68" s="18"/>
      <c r="J68"/>
    </row>
    <row r="69" spans="4:10" hidden="1" x14ac:dyDescent="0.25">
      <c r="D69" s="41" t="s">
        <v>16</v>
      </c>
      <c r="E69" t="s">
        <v>39</v>
      </c>
      <c r="F69">
        <v>9</v>
      </c>
      <c r="I69" s="18"/>
      <c r="J69"/>
    </row>
    <row r="70" spans="4:10" hidden="1" x14ac:dyDescent="0.25">
      <c r="D70" s="41" t="s">
        <v>2</v>
      </c>
      <c r="E70" t="s">
        <v>40</v>
      </c>
      <c r="F70">
        <v>10</v>
      </c>
    </row>
    <row r="71" spans="4:10" hidden="1" x14ac:dyDescent="0.25">
      <c r="D71" s="41" t="s">
        <v>14</v>
      </c>
      <c r="E71" t="s">
        <v>50</v>
      </c>
      <c r="F71">
        <v>11</v>
      </c>
    </row>
    <row r="72" spans="4:10" hidden="1" x14ac:dyDescent="0.25">
      <c r="D72" s="41" t="s">
        <v>3</v>
      </c>
      <c r="E72" t="s">
        <v>41</v>
      </c>
      <c r="F72">
        <v>12</v>
      </c>
    </row>
    <row r="73" spans="4:10" hidden="1" x14ac:dyDescent="0.25">
      <c r="D73" s="41" t="s">
        <v>425</v>
      </c>
      <c r="E73" t="s">
        <v>427</v>
      </c>
      <c r="F73">
        <v>13</v>
      </c>
    </row>
    <row r="74" spans="4:10" hidden="1" x14ac:dyDescent="0.25">
      <c r="D74" s="41" t="s">
        <v>12</v>
      </c>
      <c r="E74" t="s">
        <v>42</v>
      </c>
      <c r="F74">
        <v>14</v>
      </c>
    </row>
    <row r="75" spans="4:10" hidden="1" x14ac:dyDescent="0.25">
      <c r="D75" s="41" t="s">
        <v>70</v>
      </c>
      <c r="E75" t="s">
        <v>75</v>
      </c>
      <c r="F75">
        <v>15</v>
      </c>
    </row>
    <row r="76" spans="4:10" hidden="1" x14ac:dyDescent="0.25">
      <c r="D76" s="41" t="s">
        <v>4</v>
      </c>
      <c r="E76" t="s">
        <v>43</v>
      </c>
      <c r="F76">
        <v>16</v>
      </c>
    </row>
    <row r="77" spans="4:10" hidden="1" x14ac:dyDescent="0.25">
      <c r="D77" s="41" t="s">
        <v>71</v>
      </c>
      <c r="E77" t="s">
        <v>76</v>
      </c>
      <c r="F77">
        <v>17</v>
      </c>
    </row>
    <row r="78" spans="4:10" hidden="1" x14ac:dyDescent="0.25">
      <c r="D78" s="41" t="s">
        <v>10</v>
      </c>
      <c r="E78" t="s">
        <v>44</v>
      </c>
      <c r="F78">
        <v>18</v>
      </c>
    </row>
    <row r="79" spans="4:10" hidden="1" x14ac:dyDescent="0.25">
      <c r="D79" s="41" t="s">
        <v>6</v>
      </c>
      <c r="E79" t="s">
        <v>45</v>
      </c>
      <c r="F79">
        <v>19</v>
      </c>
    </row>
    <row r="80" spans="4:10" hidden="1" x14ac:dyDescent="0.25">
      <c r="D80" s="41" t="s">
        <v>7</v>
      </c>
      <c r="E80" t="s">
        <v>46</v>
      </c>
      <c r="F80">
        <v>20</v>
      </c>
    </row>
    <row r="81" spans="4:6" hidden="1" x14ac:dyDescent="0.25">
      <c r="D81" s="41" t="s">
        <v>13</v>
      </c>
      <c r="E81" t="s">
        <v>49</v>
      </c>
      <c r="F81">
        <v>21</v>
      </c>
    </row>
    <row r="82" spans="4:6" hidden="1" x14ac:dyDescent="0.25">
      <c r="D82" s="41" t="s">
        <v>8</v>
      </c>
      <c r="E82" t="s">
        <v>47</v>
      </c>
      <c r="F82">
        <v>22</v>
      </c>
    </row>
    <row r="83" spans="4:6" hidden="1" x14ac:dyDescent="0.25">
      <c r="D83" s="42" t="s">
        <v>9</v>
      </c>
      <c r="E83" t="s">
        <v>48</v>
      </c>
      <c r="F83">
        <v>23</v>
      </c>
    </row>
    <row r="84" spans="4:6" hidden="1" x14ac:dyDescent="0.25">
      <c r="E84" t="s">
        <v>51</v>
      </c>
      <c r="F84">
        <v>26</v>
      </c>
    </row>
    <row r="85" spans="4:6" hidden="1" x14ac:dyDescent="0.25">
      <c r="E85" t="s">
        <v>77</v>
      </c>
      <c r="F85">
        <v>27</v>
      </c>
    </row>
    <row r="86" spans="4:6" hidden="1" x14ac:dyDescent="0.25">
      <c r="E86" t="s">
        <v>78</v>
      </c>
      <c r="F86">
        <v>28</v>
      </c>
    </row>
    <row r="87" spans="4:6" hidden="1" x14ac:dyDescent="0.25">
      <c r="E87" t="s">
        <v>52</v>
      </c>
      <c r="F87">
        <v>29</v>
      </c>
    </row>
    <row r="88" spans="4:6" hidden="1" x14ac:dyDescent="0.25">
      <c r="E88" t="s">
        <v>79</v>
      </c>
      <c r="F88">
        <v>30</v>
      </c>
    </row>
    <row r="89" spans="4:6" hidden="1" x14ac:dyDescent="0.25">
      <c r="E89" t="s">
        <v>53</v>
      </c>
      <c r="F89">
        <v>31</v>
      </c>
    </row>
    <row r="90" spans="4:6" hidden="1" x14ac:dyDescent="0.25">
      <c r="E90" t="s">
        <v>54</v>
      </c>
      <c r="F90">
        <v>32</v>
      </c>
    </row>
    <row r="91" spans="4:6" hidden="1" x14ac:dyDescent="0.25">
      <c r="E91" t="s">
        <v>64</v>
      </c>
      <c r="F91">
        <v>33</v>
      </c>
    </row>
    <row r="92" spans="4:6" hidden="1" x14ac:dyDescent="0.25">
      <c r="E92" t="s">
        <v>55</v>
      </c>
      <c r="F92">
        <v>34</v>
      </c>
    </row>
    <row r="93" spans="4:6" hidden="1" x14ac:dyDescent="0.25">
      <c r="E93" t="s">
        <v>434</v>
      </c>
      <c r="F93">
        <v>35</v>
      </c>
    </row>
    <row r="94" spans="4:6" hidden="1" x14ac:dyDescent="0.25">
      <c r="E94" t="s">
        <v>56</v>
      </c>
      <c r="F94">
        <v>36</v>
      </c>
    </row>
    <row r="95" spans="4:6" hidden="1" x14ac:dyDescent="0.25">
      <c r="E95" t="s">
        <v>80</v>
      </c>
      <c r="F95">
        <v>37</v>
      </c>
    </row>
    <row r="96" spans="4:6" hidden="1" x14ac:dyDescent="0.25">
      <c r="E96" t="s">
        <v>57</v>
      </c>
      <c r="F96">
        <v>38</v>
      </c>
    </row>
    <row r="97" spans="5:6" hidden="1" x14ac:dyDescent="0.25">
      <c r="E97" t="s">
        <v>81</v>
      </c>
      <c r="F97">
        <v>39</v>
      </c>
    </row>
    <row r="98" spans="5:6" hidden="1" x14ac:dyDescent="0.25">
      <c r="E98" t="s">
        <v>58</v>
      </c>
      <c r="F98">
        <v>40</v>
      </c>
    </row>
    <row r="99" spans="5:6" hidden="1" x14ac:dyDescent="0.25">
      <c r="E99" t="s">
        <v>59</v>
      </c>
      <c r="F99">
        <v>41</v>
      </c>
    </row>
    <row r="100" spans="5:6" hidden="1" x14ac:dyDescent="0.25">
      <c r="E100" t="s">
        <v>60</v>
      </c>
      <c r="F100">
        <v>42</v>
      </c>
    </row>
    <row r="101" spans="5:6" hidden="1" x14ac:dyDescent="0.25">
      <c r="E101" t="s">
        <v>63</v>
      </c>
      <c r="F101">
        <v>43</v>
      </c>
    </row>
    <row r="102" spans="5:6" hidden="1" x14ac:dyDescent="0.25">
      <c r="E102" t="s">
        <v>61</v>
      </c>
      <c r="F102">
        <v>44</v>
      </c>
    </row>
    <row r="103" spans="5:6" hidden="1" x14ac:dyDescent="0.25">
      <c r="E103" t="s">
        <v>62</v>
      </c>
      <c r="F103">
        <v>45</v>
      </c>
    </row>
  </sheetData>
  <sheetProtection algorithmName="SHA-512" hashValue="m2pOqabVwrBCI5Qdz+MygwDM5g/ZKvqaeDm1FXuS5eUdqcwOcXDhl7TVTSBPdO+UAvo4y3GYSlGwvemc/PE+2g==" saltValue="WyPVeWF9w7a/Pjf1mkazuA==" spinCount="100000" sheet="1" objects="1" scenarios="1" selectLockedCells="1"/>
  <mergeCells count="1">
    <mergeCell ref="B7:I7"/>
  </mergeCells>
  <dataValidations count="2">
    <dataValidation type="list" allowBlank="1" showInputMessage="1" showErrorMessage="1" sqref="G5" xr:uid="{00000000-0002-0000-0100-000000000000}">
      <formula1>$A$63:$A$64</formula1>
    </dataValidation>
    <dataValidation type="list" allowBlank="1" showInputMessage="1" showErrorMessage="1" sqref="G3" xr:uid="{00000000-0002-0000-0100-000001000000}">
      <formula1>$D$64:$D$83</formula1>
    </dataValidation>
  </dataValidations>
  <pageMargins left="0.70866141732283472" right="0.70866141732283472" top="0.74803149606299213" bottom="0.74803149606299213" header="0.31496062992125984" footer="0.31496062992125984"/>
  <pageSetup paperSize="9" scale="62" orientation="portrait" r:id="rId1"/>
  <headerFooter>
    <oddHeader>&amp;R&amp;"Arial,Regular"&amp;13Public</oddHeader>
    <oddFooter>&amp;C_x000D_&amp;1#&amp;"Calibri"&amp;10&amp;K000000 CONTROLLED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89"/>
  <sheetViews>
    <sheetView showGridLines="0" workbookViewId="0">
      <selection activeCell="G3" sqref="G3"/>
    </sheetView>
  </sheetViews>
  <sheetFormatPr defaultRowHeight="15" x14ac:dyDescent="0.25"/>
  <cols>
    <col min="2" max="2" width="8.85546875" customWidth="1"/>
    <col min="3" max="3" width="6.28515625" customWidth="1"/>
    <col min="4" max="4" width="11.42578125" customWidth="1"/>
    <col min="5" max="5" width="28.140625" customWidth="1"/>
    <col min="6" max="6" width="24.5703125" customWidth="1"/>
    <col min="7" max="7" width="26" customWidth="1"/>
    <col min="8" max="8" width="9.28515625" customWidth="1"/>
    <col min="9" max="9" width="12.140625" customWidth="1"/>
    <col min="10" max="10" width="9.85546875" style="18" customWidth="1"/>
    <col min="11" max="11" width="26.5703125" hidden="1" customWidth="1"/>
    <col min="12" max="12" width="29.28515625" style="104" bestFit="1" customWidth="1"/>
  </cols>
  <sheetData>
    <row r="1" spans="1:12" ht="18.75" customHeight="1" x14ac:dyDescent="0.3">
      <c r="A1" s="66" t="str">
        <f>'Information page'!B1</f>
        <v>Nursery Schools Benchmarking 2024-25</v>
      </c>
      <c r="B1" s="66"/>
      <c r="C1" s="66"/>
      <c r="D1" s="66"/>
      <c r="E1" s="66"/>
      <c r="F1" s="66"/>
      <c r="G1" s="66"/>
      <c r="H1" s="66"/>
      <c r="I1" s="66"/>
      <c r="J1" s="66"/>
      <c r="K1" s="47"/>
      <c r="L1" s="143" t="s">
        <v>433</v>
      </c>
    </row>
    <row r="2" spans="1:12" ht="15.75" x14ac:dyDescent="0.25">
      <c r="A2" s="3"/>
      <c r="B2" s="4"/>
      <c r="C2" s="4"/>
      <c r="D2" s="4"/>
      <c r="E2" s="4"/>
      <c r="F2" s="4"/>
      <c r="G2" s="4"/>
      <c r="H2" s="4"/>
      <c r="I2" s="4"/>
      <c r="J2" s="4"/>
      <c r="K2" s="49"/>
      <c r="L2" s="144"/>
    </row>
    <row r="3" spans="1:12" x14ac:dyDescent="0.25">
      <c r="A3" s="3"/>
      <c r="B3" s="3"/>
      <c r="C3" s="3"/>
      <c r="D3" s="3"/>
      <c r="E3" s="3"/>
      <c r="F3" s="7" t="s">
        <v>429</v>
      </c>
      <c r="G3" s="145" t="s">
        <v>0</v>
      </c>
      <c r="H3" s="3"/>
      <c r="I3" s="3"/>
      <c r="J3" s="6"/>
      <c r="K3" s="45"/>
      <c r="L3" s="104" t="str">
        <f>G3</f>
        <v>Admin</v>
      </c>
    </row>
    <row r="4" spans="1:12" x14ac:dyDescent="0.25">
      <c r="A4" s="3"/>
      <c r="B4" s="3"/>
      <c r="C4" s="3"/>
      <c r="D4" s="3"/>
      <c r="E4" s="3"/>
      <c r="F4" s="3"/>
      <c r="G4" s="3"/>
      <c r="H4" s="3"/>
      <c r="I4" s="3"/>
      <c r="J4" s="6"/>
      <c r="K4" s="45"/>
    </row>
    <row r="5" spans="1:12" x14ac:dyDescent="0.25">
      <c r="A5" s="3"/>
      <c r="B5" s="147" t="str">
        <f>G3&amp;" Total %"</f>
        <v>Admin Total %</v>
      </c>
      <c r="C5" s="147"/>
      <c r="D5" s="147"/>
      <c r="E5" s="147"/>
      <c r="F5" s="147"/>
      <c r="G5" s="147"/>
      <c r="H5" s="147"/>
      <c r="I5" s="147"/>
      <c r="J5" s="6"/>
      <c r="K5" s="123" t="str">
        <f>L3</f>
        <v>Admin</v>
      </c>
      <c r="L5" s="104" t="str">
        <f>_xlfn.XLOOKUP(K5,Lookup!A:A,Lookup!B:B,"")</f>
        <v xml:space="preserve">   110900  General Basic Pay</v>
      </c>
    </row>
    <row r="6" spans="1:12" x14ac:dyDescent="0.25">
      <c r="A6" s="3"/>
      <c r="B6" s="3"/>
      <c r="C6" s="3"/>
      <c r="D6" s="3"/>
      <c r="E6" s="3"/>
      <c r="F6" s="3"/>
      <c r="G6" s="3"/>
      <c r="H6" s="3"/>
      <c r="I6" s="3"/>
      <c r="J6" s="6"/>
      <c r="K6" s="123" t="str">
        <f>K5&amp;"1"</f>
        <v>Admin1</v>
      </c>
      <c r="L6" s="104" t="str">
        <f>_xlfn.XLOOKUP(K6,Lookup!A:A,Lookup!B:B,"")</f>
        <v xml:space="preserve">   110901  General Nat Ins</v>
      </c>
    </row>
    <row r="7" spans="1:12" x14ac:dyDescent="0.25">
      <c r="A7" s="3"/>
      <c r="B7" s="3"/>
      <c r="C7" s="3"/>
      <c r="D7" s="3"/>
      <c r="E7" s="3"/>
      <c r="F7" s="3"/>
      <c r="G7" s="3"/>
      <c r="H7" s="3"/>
      <c r="I7" s="3"/>
      <c r="J7" s="6"/>
      <c r="K7" s="123" t="str">
        <f>K5&amp;"2"</f>
        <v>Admin2</v>
      </c>
      <c r="L7" s="104" t="str">
        <f>_xlfn.XLOOKUP(K7,Lookup!A:A,Lookup!B:B,"")</f>
        <v xml:space="preserve">   110902  General Pension</v>
      </c>
    </row>
    <row r="8" spans="1:12" x14ac:dyDescent="0.25">
      <c r="A8" s="3"/>
      <c r="B8" s="3"/>
      <c r="C8" s="3"/>
      <c r="D8" s="3"/>
      <c r="E8" s="3"/>
      <c r="F8" s="3"/>
      <c r="G8" s="3"/>
      <c r="H8" s="3"/>
      <c r="I8" s="3"/>
      <c r="J8" s="6"/>
      <c r="K8" s="123" t="str">
        <f>K5&amp;"3"</f>
        <v>Admin3</v>
      </c>
      <c r="L8" s="104" t="str">
        <f>_xlfn.XLOOKUP(K8,Lookup!A:A,Lookup!B:B,"")</f>
        <v xml:space="preserve">   110905  General Overtime</v>
      </c>
    </row>
    <row r="9" spans="1:12" x14ac:dyDescent="0.25">
      <c r="A9" s="3"/>
      <c r="B9" s="3"/>
      <c r="C9" s="3"/>
      <c r="D9" s="3"/>
      <c r="E9" s="3"/>
      <c r="F9" s="3"/>
      <c r="G9" s="3"/>
      <c r="H9" s="3"/>
      <c r="I9" s="3"/>
      <c r="J9" s="6"/>
      <c r="K9" s="123" t="str">
        <f>K5&amp;"4"</f>
        <v>Admin4</v>
      </c>
      <c r="L9" s="104" t="str">
        <f>_xlfn.XLOOKUP(K9,Lookup!A:A,Lookup!B:B,"")</f>
        <v xml:space="preserve">   110910  General Sick</v>
      </c>
    </row>
    <row r="10" spans="1:12" x14ac:dyDescent="0.25">
      <c r="A10" s="3"/>
      <c r="B10" s="3"/>
      <c r="C10" s="3"/>
      <c r="D10" s="3"/>
      <c r="E10" s="3"/>
      <c r="F10" s="3"/>
      <c r="G10" s="3"/>
      <c r="H10" s="3"/>
      <c r="I10" s="3"/>
      <c r="J10" s="6"/>
      <c r="K10" s="123" t="str">
        <f>K5&amp;"5"</f>
        <v>Admin5</v>
      </c>
      <c r="L10" s="104" t="str">
        <f>_xlfn.XLOOKUP(K10,Lookup!A:A,Lookup!B:B,"")</f>
        <v xml:space="preserve">   110915  General Allowances</v>
      </c>
    </row>
    <row r="11" spans="1:12" x14ac:dyDescent="0.25">
      <c r="A11" s="3"/>
      <c r="B11" s="3"/>
      <c r="C11" s="3"/>
      <c r="D11" s="3"/>
      <c r="E11" s="3"/>
      <c r="F11" s="3"/>
      <c r="G11" s="3"/>
      <c r="H11" s="3"/>
      <c r="I11" s="3"/>
      <c r="J11" s="6"/>
      <c r="K11" s="123" t="str">
        <f>K5&amp;"6"</f>
        <v>Admin6</v>
      </c>
      <c r="L11" s="104" t="str">
        <f>_xlfn.XLOOKUP(K11,Lookup!A:A,Lookup!B:B,"")</f>
        <v xml:space="preserve">   112500  Gen - Non SS BP</v>
      </c>
    </row>
    <row r="12" spans="1:12" x14ac:dyDescent="0.25">
      <c r="A12" s="3"/>
      <c r="B12" s="3"/>
      <c r="C12" s="3"/>
      <c r="D12" s="3"/>
      <c r="E12" s="3"/>
      <c r="F12" s="3"/>
      <c r="G12" s="3"/>
      <c r="H12" s="3"/>
      <c r="I12" s="3"/>
      <c r="J12" s="6"/>
      <c r="K12" s="123" t="str">
        <f>K5&amp;"7"</f>
        <v>Admin7</v>
      </c>
      <c r="L12" s="104" t="str">
        <f>_xlfn.XLOOKUP(K12,Lookup!A:A,Lookup!B:B,"")</f>
        <v xml:space="preserve">   112501  Gen - Non SS NI</v>
      </c>
    </row>
    <row r="13" spans="1:12" x14ac:dyDescent="0.25">
      <c r="A13" s="3"/>
      <c r="B13" s="3"/>
      <c r="C13" s="3"/>
      <c r="D13" s="3"/>
      <c r="E13" s="3"/>
      <c r="F13" s="3"/>
      <c r="G13" s="3"/>
      <c r="H13" s="3"/>
      <c r="I13" s="3"/>
      <c r="J13" s="6"/>
      <c r="K13" s="123" t="str">
        <f>K5&amp;"8"</f>
        <v>Admin8</v>
      </c>
      <c r="L13" s="104" t="str">
        <f>_xlfn.XLOOKUP(K13,Lookup!A:A,Lookup!B:B,"")</f>
        <v xml:space="preserve">   112502  Gen - Non SS Pen</v>
      </c>
    </row>
    <row r="14" spans="1:12" x14ac:dyDescent="0.25">
      <c r="A14" s="3"/>
      <c r="B14" s="3"/>
      <c r="C14" s="3"/>
      <c r="D14" s="3"/>
      <c r="E14" s="3"/>
      <c r="F14" s="3"/>
      <c r="G14" s="3"/>
      <c r="H14" s="3"/>
      <c r="I14" s="3"/>
      <c r="J14" s="6"/>
      <c r="K14" s="123" t="str">
        <f>K5&amp;"9"</f>
        <v>Admin9</v>
      </c>
      <c r="L14" s="104" t="str">
        <f>_xlfn.XLOOKUP(K14,Lookup!A:A,Lookup!B:B,"")</f>
        <v xml:space="preserve">   112505  Gen - Non SS OT</v>
      </c>
    </row>
    <row r="15" spans="1:12" x14ac:dyDescent="0.25">
      <c r="A15" s="3"/>
      <c r="B15" s="3"/>
      <c r="C15" s="3"/>
      <c r="D15" s="3"/>
      <c r="E15" s="3"/>
      <c r="F15" s="3"/>
      <c r="G15" s="3"/>
      <c r="H15" s="3"/>
      <c r="I15" s="3"/>
      <c r="J15" s="6"/>
      <c r="K15" s="123" t="str">
        <f>K5&amp;"10"</f>
        <v>Admin10</v>
      </c>
      <c r="L15" s="104" t="str">
        <f>_xlfn.XLOOKUP(K15,Lookup!A:A,Lookup!B:B,"")</f>
        <v xml:space="preserve">   112506  Gen - Non SS Relief</v>
      </c>
    </row>
    <row r="16" spans="1:12" x14ac:dyDescent="0.25">
      <c r="A16" s="3"/>
      <c r="B16" s="3"/>
      <c r="C16" s="3"/>
      <c r="D16" s="3"/>
      <c r="E16" s="3"/>
      <c r="F16" s="3"/>
      <c r="G16" s="3"/>
      <c r="H16" s="3"/>
      <c r="I16" s="3"/>
      <c r="J16" s="6"/>
      <c r="K16" s="123" t="str">
        <f>K5&amp;"11"</f>
        <v>Admin11</v>
      </c>
      <c r="L16" s="104" t="str">
        <f>_xlfn.XLOOKUP(K16,Lookup!A:A,Lookup!B:B,"")</f>
        <v xml:space="preserve">   112510  Gen - Non SS SP</v>
      </c>
    </row>
    <row r="17" spans="1:12" x14ac:dyDescent="0.25">
      <c r="A17" s="3"/>
      <c r="B17" s="3"/>
      <c r="C17" s="3"/>
      <c r="D17" s="3"/>
      <c r="E17" s="3"/>
      <c r="F17" s="3"/>
      <c r="G17" s="3"/>
      <c r="H17" s="3"/>
      <c r="I17" s="3"/>
      <c r="J17" s="6"/>
      <c r="K17" s="123" t="str">
        <f>K5&amp;"12"</f>
        <v>Admin12</v>
      </c>
      <c r="L17" s="104" t="str">
        <f>_xlfn.XLOOKUP(K17,Lookup!A:A,Lookup!B:B,"")</f>
        <v xml:space="preserve">   112515  Gen - Non SS Allow</v>
      </c>
    </row>
    <row r="18" spans="1:12" x14ac:dyDescent="0.25">
      <c r="A18" s="3"/>
      <c r="B18" s="3"/>
      <c r="C18" s="3"/>
      <c r="D18" s="3"/>
      <c r="E18" s="3"/>
      <c r="F18" s="3"/>
      <c r="G18" s="3"/>
      <c r="H18" s="3"/>
      <c r="I18" s="3"/>
      <c r="J18" s="6"/>
      <c r="K18" s="123" t="str">
        <f>K5&amp;"13"</f>
        <v>Admin13</v>
      </c>
      <c r="L18" s="104" t="str">
        <f>_xlfn.XLOOKUP(K18,Lookup!A:A,Lookup!B:B,"")</f>
        <v/>
      </c>
    </row>
    <row r="19" spans="1:12" x14ac:dyDescent="0.25">
      <c r="A19" s="3"/>
      <c r="B19" s="3"/>
      <c r="C19" s="3"/>
      <c r="D19" s="3"/>
      <c r="E19" s="3"/>
      <c r="F19" s="3"/>
      <c r="G19" s="3"/>
      <c r="H19" s="3"/>
      <c r="I19" s="3"/>
      <c r="J19" s="6"/>
      <c r="K19" s="123" t="str">
        <f>K5&amp;"14"</f>
        <v>Admin14</v>
      </c>
      <c r="L19" s="104" t="str">
        <f>_xlfn.XLOOKUP(K19,Lookup!A:A,Lookup!B:B,"")</f>
        <v/>
      </c>
    </row>
    <row r="20" spans="1:12" x14ac:dyDescent="0.25">
      <c r="A20" s="3"/>
      <c r="B20" s="3"/>
      <c r="C20" s="3"/>
      <c r="D20" s="3"/>
      <c r="E20" s="3"/>
      <c r="F20" s="3"/>
      <c r="G20" s="3"/>
      <c r="H20" s="3"/>
      <c r="I20" s="3"/>
      <c r="J20" s="6"/>
      <c r="K20" s="123" t="str">
        <f>K5&amp;"15"</f>
        <v>Admin15</v>
      </c>
      <c r="L20" s="104" t="str">
        <f>_xlfn.XLOOKUP(K20,Lookup!A:A,Lookup!B:B,"")</f>
        <v/>
      </c>
    </row>
    <row r="21" spans="1:12" x14ac:dyDescent="0.25">
      <c r="A21" s="3"/>
      <c r="B21" s="3"/>
      <c r="C21" s="3"/>
      <c r="D21" s="3"/>
      <c r="E21" s="3"/>
      <c r="F21" s="3"/>
      <c r="G21" s="3"/>
      <c r="H21" s="3"/>
      <c r="I21" s="3"/>
      <c r="J21" s="6"/>
      <c r="K21" s="123" t="str">
        <f>K5&amp;"16"</f>
        <v>Admin16</v>
      </c>
      <c r="L21" s="104" t="str">
        <f>_xlfn.XLOOKUP(K21,Lookup!A:A,Lookup!B:B,"")</f>
        <v/>
      </c>
    </row>
    <row r="22" spans="1:12" x14ac:dyDescent="0.25">
      <c r="A22" s="3"/>
      <c r="B22" s="3"/>
      <c r="C22" s="3"/>
      <c r="D22" s="3"/>
      <c r="E22" s="3"/>
      <c r="F22" s="3"/>
      <c r="G22" s="3"/>
      <c r="H22" s="3"/>
      <c r="I22" s="3"/>
      <c r="J22" s="6"/>
      <c r="K22" s="123" t="str">
        <f>K5&amp;"17"</f>
        <v>Admin17</v>
      </c>
      <c r="L22" s="104" t="str">
        <f>_xlfn.XLOOKUP(K22,Lookup!A:A,Lookup!B:B,"")</f>
        <v/>
      </c>
    </row>
    <row r="23" spans="1:12" x14ac:dyDescent="0.25">
      <c r="A23" s="3"/>
      <c r="B23" s="3"/>
      <c r="C23" s="3"/>
      <c r="D23" s="3"/>
      <c r="E23" s="3"/>
      <c r="F23" s="3"/>
      <c r="G23" s="3"/>
      <c r="H23" s="3"/>
      <c r="I23" s="3"/>
      <c r="J23" s="6"/>
      <c r="K23" s="123" t="str">
        <f>K5&amp;"18"</f>
        <v>Admin18</v>
      </c>
      <c r="L23" s="104" t="str">
        <f>_xlfn.XLOOKUP(K23,Lookup!A:A,Lookup!B:B,"")</f>
        <v/>
      </c>
    </row>
    <row r="24" spans="1:12" x14ac:dyDescent="0.25">
      <c r="A24" s="3"/>
      <c r="B24" s="3"/>
      <c r="C24" s="3"/>
      <c r="D24" s="3"/>
      <c r="E24" s="3"/>
      <c r="F24" s="3"/>
      <c r="G24" s="3"/>
      <c r="H24" s="3"/>
      <c r="I24" s="3"/>
      <c r="J24" s="6"/>
      <c r="K24" s="123" t="str">
        <f>K5&amp;"19"</f>
        <v>Admin19</v>
      </c>
      <c r="L24" s="104" t="str">
        <f>_xlfn.XLOOKUP(K24,Lookup!A:A,Lookup!B:B,"")</f>
        <v/>
      </c>
    </row>
    <row r="25" spans="1:12" x14ac:dyDescent="0.25">
      <c r="A25" s="3"/>
      <c r="B25" s="3"/>
      <c r="C25" s="3"/>
      <c r="D25" s="3"/>
      <c r="E25" s="3"/>
      <c r="F25" s="3"/>
      <c r="G25" s="3"/>
      <c r="H25" s="3"/>
      <c r="I25" s="3"/>
      <c r="J25" s="6"/>
    </row>
    <row r="26" spans="1:12" x14ac:dyDescent="0.25">
      <c r="A26" s="3"/>
      <c r="B26" s="3"/>
      <c r="C26" s="3"/>
      <c r="D26" s="3"/>
      <c r="E26" s="3"/>
      <c r="F26" s="3"/>
      <c r="G26" s="3"/>
      <c r="H26" s="3"/>
      <c r="I26" s="3"/>
      <c r="J26" s="6"/>
    </row>
    <row r="27" spans="1:12" x14ac:dyDescent="0.25">
      <c r="A27" s="3"/>
      <c r="B27" s="3"/>
      <c r="C27" s="3"/>
      <c r="D27" s="3"/>
      <c r="E27" s="3"/>
      <c r="F27" s="3"/>
      <c r="G27" s="3"/>
      <c r="H27" s="3"/>
      <c r="I27" s="3"/>
      <c r="J27" s="6"/>
    </row>
    <row r="28" spans="1:12" x14ac:dyDescent="0.25">
      <c r="A28" s="3"/>
      <c r="B28" s="3"/>
      <c r="C28" s="3"/>
      <c r="D28" s="3"/>
      <c r="E28" s="3"/>
      <c r="F28" s="3"/>
      <c r="G28" s="3"/>
      <c r="H28" s="3"/>
      <c r="I28" s="3"/>
      <c r="J28" s="6"/>
    </row>
    <row r="29" spans="1:12" x14ac:dyDescent="0.25">
      <c r="A29" s="3"/>
      <c r="B29" s="3"/>
      <c r="C29" s="3"/>
      <c r="D29" s="3"/>
      <c r="E29" s="3"/>
      <c r="F29" s="3"/>
      <c r="G29" s="3"/>
      <c r="H29" s="3"/>
      <c r="I29" s="3"/>
      <c r="J29" s="6"/>
    </row>
    <row r="30" spans="1:12" x14ac:dyDescent="0.25">
      <c r="A30" s="3"/>
      <c r="B30" s="3"/>
      <c r="C30" s="3"/>
      <c r="D30" s="3"/>
      <c r="E30" s="3"/>
      <c r="F30" s="3"/>
      <c r="G30" s="3"/>
      <c r="H30" s="3"/>
      <c r="I30" s="3"/>
      <c r="J30" s="6"/>
    </row>
    <row r="31" spans="1:12" x14ac:dyDescent="0.25">
      <c r="A31" s="3"/>
      <c r="B31" s="3"/>
      <c r="C31" s="3"/>
      <c r="D31" s="3"/>
      <c r="E31" s="3"/>
      <c r="F31" s="3"/>
      <c r="G31" s="3"/>
      <c r="H31" s="3"/>
      <c r="I31" s="3"/>
      <c r="J31" s="6"/>
    </row>
    <row r="32" spans="1:12" x14ac:dyDescent="0.25">
      <c r="A32" s="3"/>
      <c r="B32" s="3"/>
      <c r="C32" s="3"/>
      <c r="D32" s="3"/>
      <c r="E32" s="3"/>
      <c r="F32" s="3"/>
      <c r="G32" s="3"/>
      <c r="H32" s="3"/>
      <c r="I32" s="3"/>
      <c r="J32" s="6"/>
    </row>
    <row r="33" spans="1:11" x14ac:dyDescent="0.25">
      <c r="A33" s="3"/>
      <c r="B33" s="3"/>
      <c r="C33" s="3"/>
      <c r="D33" s="3"/>
      <c r="E33" s="3"/>
      <c r="F33" s="3"/>
      <c r="G33" s="3"/>
      <c r="H33" s="3"/>
      <c r="I33" s="3"/>
      <c r="J33" s="6"/>
    </row>
    <row r="34" spans="1:11" x14ac:dyDescent="0.25">
      <c r="A34" s="3"/>
      <c r="B34" s="3"/>
      <c r="C34" s="3"/>
      <c r="D34" s="3"/>
      <c r="E34" s="3"/>
      <c r="F34" s="3"/>
      <c r="G34" s="3"/>
      <c r="H34" s="3"/>
      <c r="I34" s="3"/>
      <c r="J34" s="6"/>
    </row>
    <row r="35" spans="1:11" x14ac:dyDescent="0.25">
      <c r="A35" s="3"/>
      <c r="B35" s="3"/>
      <c r="C35" s="3"/>
      <c r="D35" s="3"/>
      <c r="E35" s="3"/>
      <c r="F35" s="3"/>
      <c r="G35" s="3"/>
      <c r="H35" s="3"/>
      <c r="I35" s="3"/>
      <c r="J35" s="6"/>
    </row>
    <row r="36" spans="1:11" x14ac:dyDescent="0.25">
      <c r="A36" s="3"/>
      <c r="B36" s="3"/>
      <c r="C36" s="3"/>
      <c r="D36" s="3"/>
      <c r="E36" s="3"/>
      <c r="F36" s="3"/>
      <c r="G36" s="3"/>
      <c r="H36" s="3"/>
      <c r="I36" s="3"/>
      <c r="J36" s="6"/>
    </row>
    <row r="37" spans="1:11" x14ac:dyDescent="0.25">
      <c r="A37" s="3"/>
      <c r="B37" s="3"/>
      <c r="C37" s="3"/>
      <c r="D37" s="3"/>
      <c r="E37" s="3"/>
      <c r="F37" s="3"/>
      <c r="G37" s="3"/>
      <c r="H37" s="3"/>
      <c r="I37" s="3"/>
      <c r="J37" s="6"/>
    </row>
    <row r="38" spans="1:11" x14ac:dyDescent="0.25">
      <c r="A38" s="3"/>
      <c r="B38" s="3"/>
      <c r="C38" s="3"/>
      <c r="D38" s="3"/>
      <c r="E38" s="3"/>
      <c r="F38" s="3"/>
      <c r="G38" s="3"/>
      <c r="H38" s="3"/>
      <c r="I38" s="3"/>
      <c r="J38" s="6"/>
    </row>
    <row r="39" spans="1:11" x14ac:dyDescent="0.25">
      <c r="A39" s="3"/>
      <c r="B39" s="3"/>
      <c r="C39" s="3"/>
      <c r="D39" s="3"/>
      <c r="E39" s="3"/>
      <c r="F39" s="3"/>
      <c r="G39" s="3"/>
      <c r="H39" s="3"/>
      <c r="I39" s="3"/>
      <c r="J39" s="6"/>
    </row>
    <row r="40" spans="1:11" x14ac:dyDescent="0.25">
      <c r="A40" s="3"/>
      <c r="B40" s="3"/>
      <c r="C40" s="3"/>
      <c r="D40" s="3"/>
      <c r="E40" s="3"/>
      <c r="F40" s="3"/>
      <c r="G40" s="3"/>
      <c r="H40" s="3"/>
      <c r="I40" s="3"/>
      <c r="J40" s="6"/>
    </row>
    <row r="41" spans="1:11" x14ac:dyDescent="0.25">
      <c r="A41" s="3"/>
      <c r="B41" s="3"/>
      <c r="C41" s="3"/>
      <c r="D41" s="3"/>
      <c r="E41" s="3"/>
      <c r="F41" s="3"/>
      <c r="G41" s="3"/>
      <c r="H41" s="3"/>
      <c r="I41" s="3"/>
      <c r="J41" s="6"/>
    </row>
    <row r="42" spans="1:11" x14ac:dyDescent="0.25">
      <c r="A42" s="3"/>
      <c r="B42" s="3"/>
      <c r="C42" s="3"/>
      <c r="D42" s="3"/>
      <c r="E42" s="3"/>
      <c r="F42" s="3"/>
      <c r="G42" s="3"/>
      <c r="H42" s="3"/>
      <c r="I42" s="3"/>
      <c r="J42" s="6"/>
    </row>
    <row r="43" spans="1:11" x14ac:dyDescent="0.25">
      <c r="A43" s="3"/>
      <c r="B43" s="3"/>
      <c r="C43" s="3"/>
      <c r="D43" s="3"/>
      <c r="E43" s="3"/>
      <c r="F43" s="3"/>
      <c r="G43" s="3"/>
      <c r="H43" s="3"/>
      <c r="I43" s="3"/>
      <c r="J43" s="6"/>
    </row>
    <row r="44" spans="1:11" x14ac:dyDescent="0.25">
      <c r="A44" s="3"/>
      <c r="B44" s="3"/>
      <c r="C44" s="3"/>
      <c r="D44" s="3"/>
      <c r="E44" s="3"/>
      <c r="F44" s="3"/>
      <c r="G44" s="3"/>
      <c r="H44" s="3"/>
      <c r="I44" s="3"/>
      <c r="J44" s="6"/>
    </row>
    <row r="45" spans="1:11" x14ac:dyDescent="0.25">
      <c r="A45" s="3"/>
      <c r="B45" s="8"/>
      <c r="C45" s="3"/>
      <c r="D45" s="3"/>
      <c r="E45" s="3"/>
      <c r="F45" s="3"/>
      <c r="G45" s="9"/>
      <c r="H45" s="3"/>
      <c r="I45" s="3"/>
      <c r="J45" s="6"/>
    </row>
    <row r="46" spans="1:11" x14ac:dyDescent="0.25">
      <c r="A46" s="3"/>
      <c r="B46" s="3"/>
      <c r="C46" s="3"/>
      <c r="D46" s="3"/>
      <c r="E46" s="3"/>
      <c r="F46" s="3"/>
      <c r="G46" s="9"/>
      <c r="H46" s="3"/>
      <c r="I46" s="9"/>
      <c r="J46" s="11"/>
      <c r="K46" s="12"/>
    </row>
    <row r="47" spans="1:11" ht="30" x14ac:dyDescent="0.25">
      <c r="A47" s="3"/>
      <c r="B47" s="10"/>
      <c r="C47" s="9"/>
      <c r="D47" s="127" t="s">
        <v>17</v>
      </c>
      <c r="E47" s="128" t="s">
        <v>18</v>
      </c>
      <c r="F47" s="127" t="str">
        <f>"Total "&amp;G3&amp;" expenditure (£)"</f>
        <v>Total Admin expenditure (£)</v>
      </c>
      <c r="G47" s="129" t="s">
        <v>431</v>
      </c>
      <c r="H47" s="139" t="s">
        <v>65</v>
      </c>
      <c r="I47" s="3"/>
      <c r="J47" s="3"/>
      <c r="K47" s="45"/>
    </row>
    <row r="48" spans="1:11" x14ac:dyDescent="0.25">
      <c r="A48" s="3"/>
      <c r="B48" s="10"/>
      <c r="C48" s="9"/>
      <c r="D48" s="130" t="s">
        <v>19</v>
      </c>
      <c r="E48" s="19" t="s">
        <v>20</v>
      </c>
      <c r="F48" s="43">
        <f>IF(ISNA(VLOOKUP(D48,Data!$A$5:$BN$12,$F$59,FALSE)),0,((VLOOKUP(D48,Data!$A$5:$BN$12,$F$59,FALSE))))</f>
        <v>38555.020000000004</v>
      </c>
      <c r="G48" s="136">
        <f>_xlfn.XLOOKUP(D48,Data!$A$5:$A$12,Data!$BO$5:$BO$12)</f>
        <v>527256.43999999994</v>
      </c>
      <c r="H48" s="133">
        <f>F48/G48</f>
        <v>7.3123848425635171E-2</v>
      </c>
      <c r="I48" s="3"/>
      <c r="J48" s="3"/>
      <c r="K48" s="45"/>
    </row>
    <row r="49" spans="1:12" x14ac:dyDescent="0.25">
      <c r="A49" s="3"/>
      <c r="B49" s="10"/>
      <c r="C49" s="9"/>
      <c r="D49" s="130" t="s">
        <v>21</v>
      </c>
      <c r="E49" s="19" t="s">
        <v>22</v>
      </c>
      <c r="F49" s="20">
        <f>IF(ISNA(VLOOKUP(D49,Data!$A$5:$BN$12,$F$59,FALSE)),0,((VLOOKUP(D49,Data!$A$5:$BN$12,$F$59,FALSE))))</f>
        <v>4647.3999999999996</v>
      </c>
      <c r="G49" s="137">
        <f>_xlfn.XLOOKUP(D49,Data!$A$5:$A$12,Data!$BO$5:$BO$12)</f>
        <v>203768.21000000005</v>
      </c>
      <c r="H49" s="134">
        <f t="shared" ref="H49:H55" si="0">F49/G49</f>
        <v>2.2807286769609442E-2</v>
      </c>
      <c r="I49" s="3"/>
      <c r="J49" s="3"/>
      <c r="K49" s="45"/>
    </row>
    <row r="50" spans="1:12" x14ac:dyDescent="0.25">
      <c r="A50" s="3"/>
      <c r="B50" s="10"/>
      <c r="C50" s="9"/>
      <c r="D50" s="130" t="s">
        <v>23</v>
      </c>
      <c r="E50" s="19" t="s">
        <v>24</v>
      </c>
      <c r="F50" s="20">
        <f>IF(ISNA(VLOOKUP(D50,Data!$A$5:$BN$12,$F$59,FALSE)),0,((VLOOKUP(D50,Data!$A$5:$BN$12,$F$59,FALSE))))</f>
        <v>29237.91</v>
      </c>
      <c r="G50" s="137">
        <f>_xlfn.XLOOKUP(D50,Data!$A$5:$A$12,Data!$BO$5:$BO$12)</f>
        <v>245474.10000000006</v>
      </c>
      <c r="H50" s="134">
        <f t="shared" si="0"/>
        <v>0.11910792217997741</v>
      </c>
      <c r="I50" s="3"/>
      <c r="J50" s="3"/>
      <c r="K50" s="45"/>
    </row>
    <row r="51" spans="1:12" x14ac:dyDescent="0.25">
      <c r="A51" s="3"/>
      <c r="B51" s="10"/>
      <c r="C51" s="9"/>
      <c r="D51" s="131" t="s">
        <v>25</v>
      </c>
      <c r="E51" s="23" t="s">
        <v>26</v>
      </c>
      <c r="F51" s="20">
        <f>IF(ISNA(VLOOKUP(D51,Data!$A$5:$BN$12,$F$59,FALSE)),0,((VLOOKUP(D51,Data!$A$5:$BN$12,$F$59,FALSE))))</f>
        <v>46489.729999999989</v>
      </c>
      <c r="G51" s="137">
        <f>_xlfn.XLOOKUP(D51,Data!$A$5:$A$12,Data!$BO$5:$BO$12)</f>
        <v>627943.8899999999</v>
      </c>
      <c r="H51" s="134">
        <f t="shared" si="0"/>
        <v>7.4034847285479599E-2</v>
      </c>
      <c r="I51" s="3"/>
      <c r="J51" s="3"/>
      <c r="K51" s="45"/>
    </row>
    <row r="52" spans="1:12" s="16" customFormat="1" x14ac:dyDescent="0.25">
      <c r="A52" s="3"/>
      <c r="B52" s="9"/>
      <c r="C52" s="15"/>
      <c r="D52" s="131" t="s">
        <v>27</v>
      </c>
      <c r="E52" s="23" t="s">
        <v>28</v>
      </c>
      <c r="F52" s="20">
        <f>IF(ISNA(VLOOKUP(D52,Data!$A$5:$BN$12,$F$59,FALSE)),0,((VLOOKUP(D52,Data!$A$5:$BN$12,$F$59,FALSE))))</f>
        <v>21918.11</v>
      </c>
      <c r="G52" s="137">
        <f>_xlfn.XLOOKUP(D52,Data!$A$5:$A$12,Data!$BO$5:$BO$12)</f>
        <v>334502.28999999998</v>
      </c>
      <c r="H52" s="134">
        <f t="shared" si="0"/>
        <v>6.5524543942584071E-2</v>
      </c>
      <c r="I52" s="3"/>
      <c r="J52" s="3"/>
      <c r="L52" s="123"/>
    </row>
    <row r="53" spans="1:12" x14ac:dyDescent="0.25">
      <c r="A53" s="3"/>
      <c r="B53" s="3"/>
      <c r="C53" s="9"/>
      <c r="D53" s="130" t="s">
        <v>29</v>
      </c>
      <c r="E53" s="19" t="s">
        <v>30</v>
      </c>
      <c r="F53" s="20">
        <f>IF(ISNA(VLOOKUP(D53,Data!$A$5:$BN$12,$F$59,FALSE)),0,((VLOOKUP(D53,Data!$A$5:$BN$12,$F$59,FALSE))))</f>
        <v>43766.649999999972</v>
      </c>
      <c r="G53" s="137">
        <f>_xlfn.XLOOKUP(D53,Data!$A$5:$A$12,Data!$BO$5:$BO$12)</f>
        <v>486347.63999999996</v>
      </c>
      <c r="H53" s="134">
        <f t="shared" si="0"/>
        <v>8.9990464434041406E-2</v>
      </c>
      <c r="I53" s="3"/>
      <c r="J53" s="3"/>
      <c r="K53" s="45"/>
    </row>
    <row r="54" spans="1:12" x14ac:dyDescent="0.25">
      <c r="A54" s="3"/>
      <c r="B54" s="9"/>
      <c r="C54" s="9"/>
      <c r="D54" s="130" t="s">
        <v>31</v>
      </c>
      <c r="E54" s="19" t="s">
        <v>32</v>
      </c>
      <c r="F54" s="20">
        <f>IF(ISNA(VLOOKUP(D54,Data!$A$5:$BN$12,$F$59,FALSE)),0,((VLOOKUP(D54,Data!$A$5:$BN$12,$F$59,FALSE))))</f>
        <v>42540.659999999974</v>
      </c>
      <c r="G54" s="137">
        <f>_xlfn.XLOOKUP(D54,Data!$A$5:$A$12,Data!$BO$5:$BO$12)</f>
        <v>495988.34999999986</v>
      </c>
      <c r="H54" s="134">
        <f t="shared" si="0"/>
        <v>8.576947422252959E-2</v>
      </c>
      <c r="I54" s="3"/>
      <c r="J54" s="3"/>
      <c r="K54" s="45"/>
    </row>
    <row r="55" spans="1:12" x14ac:dyDescent="0.25">
      <c r="A55" s="3"/>
      <c r="B55" s="9"/>
      <c r="C55" s="9"/>
      <c r="D55" s="132" t="s">
        <v>33</v>
      </c>
      <c r="E55" s="21" t="s">
        <v>34</v>
      </c>
      <c r="F55" s="22">
        <f>IF(ISNA(VLOOKUP(D55,Data!$A$5:$BN$12,$F$59,FALSE)),0,((VLOOKUP(D55,Data!$A$5:$BN$12,$F$59,FALSE))))</f>
        <v>47389.56</v>
      </c>
      <c r="G55" s="138">
        <f>_xlfn.XLOOKUP(D55,Data!$A$5:$A$12,Data!$BO$5:$BO$12)</f>
        <v>562807.81999999995</v>
      </c>
      <c r="H55" s="135">
        <f t="shared" si="0"/>
        <v>8.4202028322918468E-2</v>
      </c>
      <c r="I55" s="3"/>
      <c r="J55" s="3"/>
      <c r="K55" s="45"/>
    </row>
    <row r="56" spans="1:12" x14ac:dyDescent="0.25">
      <c r="A56" s="3"/>
      <c r="B56" s="3"/>
      <c r="C56" s="3"/>
      <c r="D56" s="3"/>
      <c r="E56" s="9"/>
      <c r="F56" s="9"/>
      <c r="G56" s="9"/>
      <c r="H56" s="14"/>
      <c r="I56" s="14"/>
      <c r="J56" s="13"/>
      <c r="K56" s="44"/>
    </row>
    <row r="57" spans="1:12" x14ac:dyDescent="0.25">
      <c r="A57" s="3"/>
      <c r="B57" s="3"/>
      <c r="C57" s="3"/>
      <c r="D57" s="3"/>
      <c r="E57" s="3"/>
      <c r="F57" s="3"/>
      <c r="G57" s="3"/>
      <c r="H57" s="3"/>
      <c r="I57" s="3"/>
      <c r="J57" s="6"/>
      <c r="K57" s="16"/>
    </row>
    <row r="58" spans="1:12" hidden="1" x14ac:dyDescent="0.25">
      <c r="K58" s="16"/>
    </row>
    <row r="59" spans="1:12" hidden="1" x14ac:dyDescent="0.25">
      <c r="E59" s="3" t="str">
        <f>G3</f>
        <v>Admin</v>
      </c>
      <c r="F59" s="3">
        <f>_xlfn.XLOOKUP(E59,E60:E79,F60:F79)</f>
        <v>47</v>
      </c>
    </row>
    <row r="60" spans="1:12" hidden="1" x14ac:dyDescent="0.25">
      <c r="E60" s="40" t="s">
        <v>0</v>
      </c>
      <c r="F60" s="140">
        <v>47</v>
      </c>
    </row>
    <row r="61" spans="1:12" hidden="1" x14ac:dyDescent="0.25">
      <c r="E61" s="41" t="s">
        <v>68</v>
      </c>
      <c r="F61" s="141">
        <v>48</v>
      </c>
      <c r="I61" s="18"/>
      <c r="J61"/>
    </row>
    <row r="62" spans="1:12" hidden="1" x14ac:dyDescent="0.25">
      <c r="E62" s="41" t="s">
        <v>1</v>
      </c>
      <c r="F62" s="141">
        <v>49</v>
      </c>
      <c r="I62" s="18"/>
      <c r="J62"/>
    </row>
    <row r="63" spans="1:12" hidden="1" x14ac:dyDescent="0.25">
      <c r="E63" s="41" t="s">
        <v>15</v>
      </c>
      <c r="F63" s="141">
        <v>50</v>
      </c>
      <c r="I63" s="18"/>
      <c r="J63"/>
    </row>
    <row r="64" spans="1:12" hidden="1" x14ac:dyDescent="0.25">
      <c r="E64" s="41" t="s">
        <v>69</v>
      </c>
      <c r="F64" s="141">
        <v>51</v>
      </c>
      <c r="I64" s="18"/>
      <c r="J64"/>
    </row>
    <row r="65" spans="5:10" hidden="1" x14ac:dyDescent="0.25">
      <c r="E65" s="41" t="s">
        <v>16</v>
      </c>
      <c r="F65" s="141">
        <v>52</v>
      </c>
      <c r="I65" s="18"/>
      <c r="J65"/>
    </row>
    <row r="66" spans="5:10" hidden="1" x14ac:dyDescent="0.25">
      <c r="E66" s="41" t="s">
        <v>2</v>
      </c>
      <c r="F66" s="141">
        <v>53</v>
      </c>
    </row>
    <row r="67" spans="5:10" hidden="1" x14ac:dyDescent="0.25">
      <c r="E67" s="41" t="s">
        <v>14</v>
      </c>
      <c r="F67" s="141">
        <v>54</v>
      </c>
    </row>
    <row r="68" spans="5:10" hidden="1" x14ac:dyDescent="0.25">
      <c r="E68" s="41" t="s">
        <v>3</v>
      </c>
      <c r="F68" s="141">
        <v>55</v>
      </c>
    </row>
    <row r="69" spans="5:10" hidden="1" x14ac:dyDescent="0.25">
      <c r="E69" s="41" t="s">
        <v>425</v>
      </c>
      <c r="F69" s="141">
        <v>56</v>
      </c>
    </row>
    <row r="70" spans="5:10" hidden="1" x14ac:dyDescent="0.25">
      <c r="E70" s="41" t="s">
        <v>12</v>
      </c>
      <c r="F70" s="141">
        <v>57</v>
      </c>
    </row>
    <row r="71" spans="5:10" hidden="1" x14ac:dyDescent="0.25">
      <c r="E71" s="41" t="s">
        <v>70</v>
      </c>
      <c r="F71" s="141">
        <v>58</v>
      </c>
    </row>
    <row r="72" spans="5:10" hidden="1" x14ac:dyDescent="0.25">
      <c r="E72" s="41" t="s">
        <v>4</v>
      </c>
      <c r="F72" s="141">
        <v>59</v>
      </c>
    </row>
    <row r="73" spans="5:10" hidden="1" x14ac:dyDescent="0.25">
      <c r="E73" s="41" t="s">
        <v>71</v>
      </c>
      <c r="F73" s="141">
        <v>60</v>
      </c>
    </row>
    <row r="74" spans="5:10" hidden="1" x14ac:dyDescent="0.25">
      <c r="E74" s="41" t="s">
        <v>10</v>
      </c>
      <c r="F74" s="141">
        <v>61</v>
      </c>
    </row>
    <row r="75" spans="5:10" hidden="1" x14ac:dyDescent="0.25">
      <c r="E75" s="41" t="s">
        <v>6</v>
      </c>
      <c r="F75" s="141">
        <v>62</v>
      </c>
    </row>
    <row r="76" spans="5:10" hidden="1" x14ac:dyDescent="0.25">
      <c r="E76" s="41" t="s">
        <v>7</v>
      </c>
      <c r="F76" s="141">
        <v>63</v>
      </c>
    </row>
    <row r="77" spans="5:10" hidden="1" x14ac:dyDescent="0.25">
      <c r="E77" s="41" t="s">
        <v>13</v>
      </c>
      <c r="F77" s="141">
        <v>64</v>
      </c>
    </row>
    <row r="78" spans="5:10" hidden="1" x14ac:dyDescent="0.25">
      <c r="E78" s="41" t="s">
        <v>8</v>
      </c>
      <c r="F78" s="141">
        <v>65</v>
      </c>
    </row>
    <row r="79" spans="5:10" hidden="1" x14ac:dyDescent="0.25">
      <c r="E79" s="42" t="s">
        <v>9</v>
      </c>
      <c r="F79" s="142">
        <v>66</v>
      </c>
    </row>
    <row r="82" spans="8:8" x14ac:dyDescent="0.25">
      <c r="H82" s="54"/>
    </row>
    <row r="83" spans="8:8" x14ac:dyDescent="0.25">
      <c r="H83" s="54"/>
    </row>
    <row r="84" spans="8:8" x14ac:dyDescent="0.25">
      <c r="H84" s="54"/>
    </row>
    <row r="85" spans="8:8" x14ac:dyDescent="0.25">
      <c r="H85" s="54"/>
    </row>
    <row r="86" spans="8:8" x14ac:dyDescent="0.25">
      <c r="H86" s="54"/>
    </row>
    <row r="87" spans="8:8" x14ac:dyDescent="0.25">
      <c r="H87" s="54"/>
    </row>
    <row r="88" spans="8:8" x14ac:dyDescent="0.25">
      <c r="H88" s="54"/>
    </row>
    <row r="89" spans="8:8" x14ac:dyDescent="0.25">
      <c r="H89" s="54"/>
    </row>
  </sheetData>
  <sheetProtection algorithmName="SHA-512" hashValue="e1/aLokdzbpoyYJYQJ4a1n0nHZjwmh0tVesHeGdsEpsr1WAfcHxNBiCLG7yAtzU/4tOxBilTYJCYmBHrQq7zcw==" saltValue="XBvKNj96+qGofym5ieraEg==" spinCount="100000" sheet="1" objects="1" scenarios="1" selectLockedCells="1"/>
  <mergeCells count="1">
    <mergeCell ref="B5:I5"/>
  </mergeCells>
  <dataValidations count="1">
    <dataValidation type="list" allowBlank="1" showInputMessage="1" showErrorMessage="1" sqref="F65513 G3" xr:uid="{00000000-0002-0000-0200-000000000000}">
      <formula1>$E$60:$E$79</formula1>
    </dataValidation>
  </dataValidations>
  <pageMargins left="0.70866141732283472" right="0.70866141732283472" top="0.74803149606299213" bottom="0.74803149606299213" header="0.31496062992125984" footer="0.31496062992125984"/>
  <pageSetup paperSize="9" scale="63" orientation="portrait" r:id="rId1"/>
  <headerFooter>
    <oddHeader>&amp;R&amp;"Arial,Regular"&amp;13Public</oddHeader>
    <oddFooter>&amp;C_x000D_&amp;1#&amp;"Calibri"&amp;10&amp;K000000 CONTROLLED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workbookViewId="0">
      <selection activeCell="V15" sqref="V15"/>
    </sheetView>
  </sheetViews>
  <sheetFormatPr defaultRowHeight="15" x14ac:dyDescent="0.25"/>
  <cols>
    <col min="1" max="16384" width="9.140625" style="5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workbookViewId="0">
      <selection activeCell="V11" sqref="V11"/>
    </sheetView>
  </sheetViews>
  <sheetFormatPr defaultRowHeight="15" x14ac:dyDescent="0.25"/>
  <cols>
    <col min="1" max="16384" width="9.140625" style="5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
  <sheetViews>
    <sheetView workbookViewId="0">
      <selection activeCell="U12" sqref="U12"/>
    </sheetView>
  </sheetViews>
  <sheetFormatPr defaultRowHeight="15" x14ac:dyDescent="0.25"/>
  <cols>
    <col min="1" max="16384" width="9.140625" style="5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BO29"/>
  <sheetViews>
    <sheetView zoomScaleNormal="100" workbookViewId="0">
      <selection activeCell="B30" sqref="B30"/>
    </sheetView>
  </sheetViews>
  <sheetFormatPr defaultRowHeight="15" x14ac:dyDescent="0.25"/>
  <cols>
    <col min="1" max="1" width="12.42578125" customWidth="1"/>
    <col min="2" max="2" width="21.85546875" customWidth="1"/>
    <col min="3" max="18" width="11" customWidth="1"/>
    <col min="19" max="20" width="11.5703125" bestFit="1" customWidth="1"/>
    <col min="21" max="23" width="11" customWidth="1"/>
    <col min="24" max="24" width="4.5703125" customWidth="1"/>
    <col min="25" max="45" width="11" customWidth="1"/>
    <col min="46" max="46" width="4.140625" customWidth="1"/>
    <col min="47" max="61" width="11" customWidth="1"/>
    <col min="62" max="63" width="13.42578125" customWidth="1"/>
    <col min="64" max="66" width="11" customWidth="1"/>
    <col min="67" max="67" width="11.5703125" bestFit="1" customWidth="1"/>
  </cols>
  <sheetData>
    <row r="1" spans="1:67" ht="18.75" x14ac:dyDescent="0.3">
      <c r="A1" s="37" t="str">
        <f>'Information page'!B1</f>
        <v>Nursery Schools Benchmarking 2024-25</v>
      </c>
    </row>
    <row r="2" spans="1:67" s="122" customFormat="1" x14ac:dyDescent="0.25">
      <c r="A2" s="122">
        <v>1</v>
      </c>
      <c r="B2" s="122">
        <v>2</v>
      </c>
      <c r="C2" s="122">
        <v>3</v>
      </c>
      <c r="D2" s="122">
        <v>4</v>
      </c>
      <c r="E2" s="122">
        <v>5</v>
      </c>
      <c r="F2" s="122">
        <v>6</v>
      </c>
      <c r="G2" s="122">
        <v>7</v>
      </c>
      <c r="H2" s="122">
        <v>8</v>
      </c>
      <c r="I2" s="122">
        <v>9</v>
      </c>
      <c r="J2" s="122">
        <v>10</v>
      </c>
      <c r="K2" s="122">
        <v>11</v>
      </c>
      <c r="L2" s="122">
        <v>12</v>
      </c>
      <c r="M2" s="122">
        <v>13</v>
      </c>
      <c r="N2" s="122">
        <v>14</v>
      </c>
      <c r="O2" s="122">
        <v>15</v>
      </c>
      <c r="P2" s="122">
        <v>16</v>
      </c>
      <c r="Q2" s="122">
        <v>17</v>
      </c>
      <c r="R2" s="122">
        <v>18</v>
      </c>
      <c r="S2" s="122">
        <v>19</v>
      </c>
      <c r="T2" s="122">
        <v>20</v>
      </c>
      <c r="U2" s="122">
        <v>21</v>
      </c>
      <c r="V2" s="122">
        <v>22</v>
      </c>
      <c r="W2" s="122">
        <v>23</v>
      </c>
      <c r="X2" s="122">
        <v>24</v>
      </c>
      <c r="Y2" s="122">
        <v>25</v>
      </c>
      <c r="Z2" s="122">
        <v>26</v>
      </c>
      <c r="AA2" s="122">
        <v>27</v>
      </c>
      <c r="AB2" s="122">
        <v>28</v>
      </c>
      <c r="AC2" s="122">
        <v>29</v>
      </c>
      <c r="AD2" s="122">
        <v>30</v>
      </c>
      <c r="AE2" s="122">
        <v>31</v>
      </c>
      <c r="AF2" s="122">
        <v>32</v>
      </c>
      <c r="AG2" s="122">
        <v>33</v>
      </c>
      <c r="AH2" s="122">
        <v>34</v>
      </c>
      <c r="AI2" s="122">
        <v>35</v>
      </c>
      <c r="AJ2" s="122">
        <v>36</v>
      </c>
      <c r="AK2" s="122">
        <v>37</v>
      </c>
      <c r="AL2" s="122">
        <v>38</v>
      </c>
      <c r="AM2" s="122">
        <v>39</v>
      </c>
      <c r="AN2" s="122">
        <v>40</v>
      </c>
      <c r="AO2" s="122">
        <v>41</v>
      </c>
      <c r="AP2" s="122">
        <v>42</v>
      </c>
      <c r="AQ2" s="122">
        <v>43</v>
      </c>
      <c r="AR2" s="122">
        <v>44</v>
      </c>
      <c r="AS2" s="122">
        <v>45</v>
      </c>
      <c r="AT2" s="122">
        <v>46</v>
      </c>
      <c r="AU2" s="122">
        <v>47</v>
      </c>
      <c r="AV2" s="122">
        <v>48</v>
      </c>
      <c r="AW2" s="122">
        <v>49</v>
      </c>
      <c r="AX2" s="122">
        <v>50</v>
      </c>
      <c r="AY2" s="122">
        <v>51</v>
      </c>
      <c r="AZ2" s="122">
        <v>52</v>
      </c>
      <c r="BA2" s="122">
        <v>53</v>
      </c>
      <c r="BB2" s="122">
        <v>54</v>
      </c>
      <c r="BC2" s="122">
        <v>55</v>
      </c>
      <c r="BD2" s="122">
        <v>56</v>
      </c>
      <c r="BE2" s="122">
        <v>57</v>
      </c>
      <c r="BF2" s="122">
        <v>58</v>
      </c>
      <c r="BG2" s="122">
        <v>59</v>
      </c>
      <c r="BH2" s="122">
        <v>60</v>
      </c>
      <c r="BI2" s="122">
        <v>61</v>
      </c>
      <c r="BJ2" s="122">
        <v>62</v>
      </c>
      <c r="BK2" s="122">
        <v>63</v>
      </c>
      <c r="BL2" s="122">
        <v>64</v>
      </c>
      <c r="BM2" s="122">
        <v>65</v>
      </c>
      <c r="BN2" s="122">
        <v>66</v>
      </c>
      <c r="BO2" s="122">
        <v>67</v>
      </c>
    </row>
    <row r="3" spans="1:67" x14ac:dyDescent="0.25">
      <c r="A3" s="122" t="s">
        <v>424</v>
      </c>
      <c r="D3" s="112" t="s">
        <v>421</v>
      </c>
      <c r="E3" s="109"/>
      <c r="F3" s="109"/>
      <c r="G3" s="109"/>
      <c r="H3" s="109"/>
      <c r="I3" s="109"/>
      <c r="J3" s="109"/>
      <c r="K3" s="109"/>
      <c r="L3" s="109"/>
      <c r="M3" s="109"/>
      <c r="N3" s="109"/>
      <c r="O3" s="109"/>
      <c r="P3" s="109"/>
      <c r="Q3" s="109"/>
      <c r="R3" s="109"/>
      <c r="S3" s="109"/>
      <c r="T3" s="109"/>
      <c r="U3" s="109"/>
      <c r="V3" s="109"/>
      <c r="W3" s="110"/>
      <c r="Z3" s="112" t="s">
        <v>420</v>
      </c>
      <c r="AA3" s="109"/>
      <c r="AB3" s="109"/>
      <c r="AC3" s="109"/>
      <c r="AD3" s="109"/>
      <c r="AE3" s="109"/>
      <c r="AF3" s="109"/>
      <c r="AG3" s="109"/>
      <c r="AH3" s="109"/>
      <c r="AI3" s="111"/>
      <c r="AJ3" s="109"/>
      <c r="AK3" s="109"/>
      <c r="AL3" s="109"/>
      <c r="AM3" s="109"/>
      <c r="AN3" s="109"/>
      <c r="AO3" s="109"/>
      <c r="AP3" s="109"/>
      <c r="AQ3" s="109"/>
      <c r="AR3" s="109"/>
      <c r="AS3" s="110"/>
      <c r="AU3" s="113" t="s">
        <v>419</v>
      </c>
      <c r="AV3" s="114"/>
      <c r="AW3" s="114"/>
      <c r="AX3" s="114"/>
      <c r="AY3" s="114"/>
      <c r="AZ3" s="114"/>
      <c r="BA3" s="114"/>
      <c r="BB3" s="114"/>
      <c r="BC3" s="114"/>
      <c r="BD3" s="114"/>
      <c r="BE3" s="114"/>
      <c r="BF3" s="114"/>
      <c r="BG3" s="114"/>
      <c r="BH3" s="114"/>
      <c r="BI3" s="114"/>
      <c r="BJ3" s="114"/>
      <c r="BK3" s="114"/>
      <c r="BL3" s="114"/>
      <c r="BM3" s="114"/>
      <c r="BN3" s="115"/>
      <c r="BO3" s="115"/>
    </row>
    <row r="4" spans="1:67" ht="45" x14ac:dyDescent="0.25">
      <c r="A4" s="30" t="s">
        <v>17</v>
      </c>
      <c r="B4" s="36" t="s">
        <v>11</v>
      </c>
      <c r="C4" s="121" t="s">
        <v>35</v>
      </c>
      <c r="D4" s="31" t="s">
        <v>0</v>
      </c>
      <c r="E4" s="31" t="s">
        <v>68</v>
      </c>
      <c r="F4" s="31" t="s">
        <v>1</v>
      </c>
      <c r="G4" s="31" t="s">
        <v>15</v>
      </c>
      <c r="H4" s="31" t="s">
        <v>69</v>
      </c>
      <c r="I4" s="31" t="s">
        <v>16</v>
      </c>
      <c r="J4" s="31" t="s">
        <v>2</v>
      </c>
      <c r="K4" s="31" t="s">
        <v>14</v>
      </c>
      <c r="L4" s="31" t="s">
        <v>3</v>
      </c>
      <c r="M4" s="31" t="s">
        <v>425</v>
      </c>
      <c r="N4" s="31" t="s">
        <v>12</v>
      </c>
      <c r="O4" s="31" t="s">
        <v>70</v>
      </c>
      <c r="P4" s="31" t="s">
        <v>4</v>
      </c>
      <c r="Q4" s="31" t="s">
        <v>71</v>
      </c>
      <c r="R4" s="31" t="s">
        <v>10</v>
      </c>
      <c r="S4" s="31" t="s">
        <v>6</v>
      </c>
      <c r="T4" s="31" t="s">
        <v>7</v>
      </c>
      <c r="U4" s="31" t="s">
        <v>13</v>
      </c>
      <c r="V4" s="31" t="s">
        <v>8</v>
      </c>
      <c r="W4" s="32" t="s">
        <v>9</v>
      </c>
      <c r="Y4" s="2" t="s">
        <v>36</v>
      </c>
      <c r="Z4" s="31" t="s">
        <v>0</v>
      </c>
      <c r="AA4" s="31" t="s">
        <v>68</v>
      </c>
      <c r="AB4" s="31" t="s">
        <v>1</v>
      </c>
      <c r="AC4" s="31" t="s">
        <v>15</v>
      </c>
      <c r="AD4" s="31" t="s">
        <v>69</v>
      </c>
      <c r="AE4" s="31" t="s">
        <v>16</v>
      </c>
      <c r="AF4" s="31" t="s">
        <v>2</v>
      </c>
      <c r="AG4" s="31" t="s">
        <v>14</v>
      </c>
      <c r="AH4" s="31" t="s">
        <v>3</v>
      </c>
      <c r="AI4" s="31" t="s">
        <v>425</v>
      </c>
      <c r="AJ4" s="31" t="s">
        <v>12</v>
      </c>
      <c r="AK4" s="31" t="s">
        <v>70</v>
      </c>
      <c r="AL4" s="31" t="s">
        <v>4</v>
      </c>
      <c r="AM4" s="31" t="s">
        <v>71</v>
      </c>
      <c r="AN4" s="31" t="s">
        <v>10</v>
      </c>
      <c r="AO4" s="31" t="s">
        <v>6</v>
      </c>
      <c r="AP4" s="31" t="s">
        <v>7</v>
      </c>
      <c r="AQ4" s="31" t="s">
        <v>13</v>
      </c>
      <c r="AR4" s="31" t="s">
        <v>8</v>
      </c>
      <c r="AS4" s="32" t="s">
        <v>9</v>
      </c>
      <c r="AU4" s="38" t="s">
        <v>0</v>
      </c>
      <c r="AV4" s="31" t="s">
        <v>68</v>
      </c>
      <c r="AW4" s="31" t="s">
        <v>1</v>
      </c>
      <c r="AX4" s="31" t="s">
        <v>15</v>
      </c>
      <c r="AY4" s="31" t="s">
        <v>69</v>
      </c>
      <c r="AZ4" s="31" t="s">
        <v>16</v>
      </c>
      <c r="BA4" s="31" t="s">
        <v>2</v>
      </c>
      <c r="BB4" s="31" t="s">
        <v>14</v>
      </c>
      <c r="BC4" s="31" t="s">
        <v>3</v>
      </c>
      <c r="BD4" s="31" t="s">
        <v>425</v>
      </c>
      <c r="BE4" s="31" t="s">
        <v>12</v>
      </c>
      <c r="BF4" s="31" t="s">
        <v>70</v>
      </c>
      <c r="BG4" s="31" t="s">
        <v>4</v>
      </c>
      <c r="BH4" s="31" t="s">
        <v>71</v>
      </c>
      <c r="BI4" s="31" t="s">
        <v>10</v>
      </c>
      <c r="BJ4" s="31" t="s">
        <v>6</v>
      </c>
      <c r="BK4" s="31" t="s">
        <v>7</v>
      </c>
      <c r="BL4" s="31" t="s">
        <v>13</v>
      </c>
      <c r="BM4" s="31" t="s">
        <v>8</v>
      </c>
      <c r="BN4" s="32" t="s">
        <v>9</v>
      </c>
      <c r="BO4" s="32" t="s">
        <v>432</v>
      </c>
    </row>
    <row r="5" spans="1:67" x14ac:dyDescent="0.25">
      <c r="A5" s="24" t="s">
        <v>19</v>
      </c>
      <c r="B5" s="119" t="s">
        <v>20</v>
      </c>
      <c r="C5" s="116">
        <f>T20</f>
        <v>64</v>
      </c>
      <c r="D5" s="25">
        <f>AU5/$C5</f>
        <v>602.42218750000006</v>
      </c>
      <c r="E5" s="25">
        <f t="shared" ref="E5:W12" si="0">AV5/$C5</f>
        <v>0</v>
      </c>
      <c r="F5" s="25">
        <f t="shared" si="0"/>
        <v>0</v>
      </c>
      <c r="G5" s="25">
        <f t="shared" si="0"/>
        <v>0</v>
      </c>
      <c r="H5" s="25">
        <f t="shared" si="0"/>
        <v>6.3390624999999998</v>
      </c>
      <c r="I5" s="25">
        <f t="shared" si="0"/>
        <v>100.68531249999999</v>
      </c>
      <c r="J5" s="25">
        <f t="shared" si="0"/>
        <v>10.3025</v>
      </c>
      <c r="K5" s="25">
        <f t="shared" si="0"/>
        <v>75.47750000000002</v>
      </c>
      <c r="L5" s="25">
        <f t="shared" si="0"/>
        <v>73.585156249999997</v>
      </c>
      <c r="M5" s="25">
        <f t="shared" si="0"/>
        <v>119.05874999999988</v>
      </c>
      <c r="N5" s="25">
        <f t="shared" si="0"/>
        <v>4.7796874999999943</v>
      </c>
      <c r="O5" s="25">
        <f t="shared" si="0"/>
        <v>302.81390625</v>
      </c>
      <c r="P5" s="25">
        <f t="shared" si="0"/>
        <v>0</v>
      </c>
      <c r="Q5" s="25">
        <f t="shared" si="0"/>
        <v>32.994218750000002</v>
      </c>
      <c r="R5" s="25">
        <f t="shared" si="0"/>
        <v>127.89906250000001</v>
      </c>
      <c r="S5" s="25">
        <f t="shared" si="0"/>
        <v>4687.915937499999</v>
      </c>
      <c r="T5" s="25">
        <f t="shared" si="0"/>
        <v>1932.7932812500003</v>
      </c>
      <c r="U5" s="25">
        <f t="shared" si="0"/>
        <v>80.723437499999989</v>
      </c>
      <c r="V5" s="25">
        <f t="shared" si="0"/>
        <v>26.362343750000001</v>
      </c>
      <c r="W5" s="35">
        <f t="shared" si="0"/>
        <v>54.229531249999994</v>
      </c>
      <c r="Y5" s="33">
        <v>349.43</v>
      </c>
      <c r="Z5" s="34">
        <f>AU5/$Y$5</f>
        <v>110.336891509029</v>
      </c>
      <c r="AA5" s="34">
        <f t="shared" ref="AA5:AS5" si="1">AV5/$Y$5</f>
        <v>0</v>
      </c>
      <c r="AB5" s="34">
        <f t="shared" si="1"/>
        <v>0</v>
      </c>
      <c r="AC5" s="34">
        <f t="shared" si="1"/>
        <v>0</v>
      </c>
      <c r="AD5" s="34">
        <f t="shared" si="1"/>
        <v>1.1610336834272958</v>
      </c>
      <c r="AE5" s="34">
        <f t="shared" si="1"/>
        <v>18.441061156740975</v>
      </c>
      <c r="AF5" s="34">
        <f t="shared" si="1"/>
        <v>1.8869587614114416</v>
      </c>
      <c r="AG5" s="34">
        <f t="shared" si="1"/>
        <v>13.824113556363223</v>
      </c>
      <c r="AH5" s="34">
        <f t="shared" si="1"/>
        <v>13.477520533440174</v>
      </c>
      <c r="AI5" s="34">
        <f t="shared" si="1"/>
        <v>21.806255902469712</v>
      </c>
      <c r="AJ5" s="34">
        <f t="shared" si="1"/>
        <v>0.8754256932718989</v>
      </c>
      <c r="AK5" s="34">
        <f t="shared" si="1"/>
        <v>55.462009558423716</v>
      </c>
      <c r="AL5" s="34">
        <f t="shared" si="1"/>
        <v>0</v>
      </c>
      <c r="AM5" s="34">
        <f t="shared" si="1"/>
        <v>6.0430701428039955</v>
      </c>
      <c r="AN5" s="34">
        <f t="shared" si="1"/>
        <v>23.425407091549097</v>
      </c>
      <c r="AO5" s="34">
        <f t="shared" si="1"/>
        <v>858.61723378072838</v>
      </c>
      <c r="AP5" s="34">
        <f t="shared" si="1"/>
        <v>354.00157399192977</v>
      </c>
      <c r="AQ5" s="34">
        <f t="shared" si="1"/>
        <v>14.784935466330879</v>
      </c>
      <c r="AR5" s="34">
        <f t="shared" si="1"/>
        <v>4.8284062616260766</v>
      </c>
      <c r="AS5" s="35">
        <f t="shared" si="1"/>
        <v>9.932432819162635</v>
      </c>
      <c r="AU5" s="55">
        <v>38555.020000000004</v>
      </c>
      <c r="AV5" s="56"/>
      <c r="AW5" s="56"/>
      <c r="AX5" s="56"/>
      <c r="AY5" s="56">
        <v>405.7</v>
      </c>
      <c r="AZ5" s="56">
        <v>6443.86</v>
      </c>
      <c r="BA5" s="56">
        <v>659.36</v>
      </c>
      <c r="BB5" s="56">
        <v>4830.5600000000013</v>
      </c>
      <c r="BC5" s="56">
        <v>4709.45</v>
      </c>
      <c r="BD5" s="56">
        <v>7619.759999999992</v>
      </c>
      <c r="BE5" s="56">
        <v>305.89999999999964</v>
      </c>
      <c r="BF5" s="56">
        <v>19380.09</v>
      </c>
      <c r="BG5" s="56"/>
      <c r="BH5" s="56">
        <v>2111.63</v>
      </c>
      <c r="BI5" s="56">
        <v>8185.5400000000009</v>
      </c>
      <c r="BJ5" s="56">
        <v>300026.61999999994</v>
      </c>
      <c r="BK5" s="56">
        <v>123698.77000000002</v>
      </c>
      <c r="BL5" s="56">
        <v>5166.2999999999993</v>
      </c>
      <c r="BM5" s="56">
        <v>1687.19</v>
      </c>
      <c r="BN5" s="57">
        <v>3470.6899999999996</v>
      </c>
      <c r="BO5" s="57">
        <v>527256.43999999994</v>
      </c>
    </row>
    <row r="6" spans="1:67" x14ac:dyDescent="0.25">
      <c r="A6" s="24" t="s">
        <v>21</v>
      </c>
      <c r="B6" s="119" t="s">
        <v>22</v>
      </c>
      <c r="C6" s="117">
        <f t="shared" ref="C6:C12" si="2">T21</f>
        <v>28</v>
      </c>
      <c r="D6" s="25">
        <f t="shared" ref="D6:D12" si="3">AU6/$C6</f>
        <v>165.97857142857143</v>
      </c>
      <c r="E6" s="25">
        <f t="shared" si="0"/>
        <v>89.778571428571425</v>
      </c>
      <c r="F6" s="25">
        <f t="shared" si="0"/>
        <v>0</v>
      </c>
      <c r="G6" s="25">
        <f t="shared" si="0"/>
        <v>0</v>
      </c>
      <c r="H6" s="25">
        <f t="shared" si="0"/>
        <v>0</v>
      </c>
      <c r="I6" s="25">
        <f t="shared" si="0"/>
        <v>0</v>
      </c>
      <c r="J6" s="25">
        <f t="shared" si="0"/>
        <v>0</v>
      </c>
      <c r="K6" s="25">
        <f t="shared" si="0"/>
        <v>0</v>
      </c>
      <c r="L6" s="25">
        <f t="shared" si="0"/>
        <v>0</v>
      </c>
      <c r="M6" s="25">
        <f t="shared" si="0"/>
        <v>249.14499999999998</v>
      </c>
      <c r="N6" s="25">
        <f t="shared" si="0"/>
        <v>31.181071428571425</v>
      </c>
      <c r="O6" s="25">
        <f t="shared" si="0"/>
        <v>149.45892857142854</v>
      </c>
      <c r="P6" s="25">
        <f t="shared" si="0"/>
        <v>0</v>
      </c>
      <c r="Q6" s="25">
        <f t="shared" si="0"/>
        <v>0</v>
      </c>
      <c r="R6" s="25">
        <f t="shared" si="0"/>
        <v>208.36607142857142</v>
      </c>
      <c r="S6" s="25">
        <f t="shared" si="0"/>
        <v>4127.5396428571448</v>
      </c>
      <c r="T6" s="25">
        <f t="shared" si="0"/>
        <v>2255.9882142857145</v>
      </c>
      <c r="U6" s="25">
        <f t="shared" si="0"/>
        <v>0</v>
      </c>
      <c r="V6" s="25">
        <f t="shared" si="0"/>
        <v>0</v>
      </c>
      <c r="W6" s="26">
        <f t="shared" si="0"/>
        <v>0</v>
      </c>
      <c r="Y6" s="24">
        <v>690.30000000000007</v>
      </c>
      <c r="Z6" s="25">
        <f>AU6/$Y$6</f>
        <v>6.7324351731131378</v>
      </c>
      <c r="AA6" s="25">
        <f t="shared" ref="AA6:AH6" si="4">AV6/$Y$6</f>
        <v>3.6416050992322173</v>
      </c>
      <c r="AB6" s="25">
        <f t="shared" si="4"/>
        <v>0</v>
      </c>
      <c r="AC6" s="25">
        <f t="shared" si="4"/>
        <v>0</v>
      </c>
      <c r="AD6" s="25">
        <f t="shared" si="4"/>
        <v>0</v>
      </c>
      <c r="AE6" s="25">
        <f t="shared" si="4"/>
        <v>0</v>
      </c>
      <c r="AF6" s="25">
        <f t="shared" si="4"/>
        <v>0</v>
      </c>
      <c r="AG6" s="25">
        <f t="shared" si="4"/>
        <v>0</v>
      </c>
      <c r="AH6" s="25">
        <f t="shared" si="4"/>
        <v>0</v>
      </c>
      <c r="AI6" s="25">
        <f t="shared" ref="AI6:AS6" si="5">BD6/$Y$6</f>
        <v>10.105838041431261</v>
      </c>
      <c r="AJ6" s="25">
        <f t="shared" si="5"/>
        <v>1.2647689410401273</v>
      </c>
      <c r="AK6" s="25">
        <f t="shared" si="5"/>
        <v>6.0623641894828317</v>
      </c>
      <c r="AL6" s="25">
        <f t="shared" si="5"/>
        <v>0</v>
      </c>
      <c r="AM6" s="25">
        <f t="shared" si="5"/>
        <v>0</v>
      </c>
      <c r="AN6" s="25">
        <f t="shared" si="5"/>
        <v>8.4517601043024762</v>
      </c>
      <c r="AO6" s="25">
        <f t="shared" si="5"/>
        <v>167.42157033173987</v>
      </c>
      <c r="AP6" s="25">
        <f t="shared" si="5"/>
        <v>91.507561929595838</v>
      </c>
      <c r="AQ6" s="25">
        <f t="shared" si="5"/>
        <v>0</v>
      </c>
      <c r="AR6" s="25">
        <f t="shared" si="5"/>
        <v>0</v>
      </c>
      <c r="AS6" s="26">
        <f t="shared" si="5"/>
        <v>0</v>
      </c>
      <c r="AU6" s="58">
        <v>4647.3999999999996</v>
      </c>
      <c r="AV6" s="59">
        <v>2513.7999999999997</v>
      </c>
      <c r="AW6" s="59"/>
      <c r="AX6" s="59"/>
      <c r="AY6" s="59"/>
      <c r="AZ6" s="59"/>
      <c r="BA6" s="59"/>
      <c r="BB6" s="59"/>
      <c r="BC6" s="59"/>
      <c r="BD6" s="59">
        <v>6976.0599999999995</v>
      </c>
      <c r="BE6" s="59">
        <v>873.06999999999994</v>
      </c>
      <c r="BF6" s="59">
        <v>4184.8499999999995</v>
      </c>
      <c r="BG6" s="59"/>
      <c r="BH6" s="59"/>
      <c r="BI6" s="59">
        <v>5834.25</v>
      </c>
      <c r="BJ6" s="59">
        <v>115571.11000000004</v>
      </c>
      <c r="BK6" s="59">
        <v>63167.670000000013</v>
      </c>
      <c r="BL6" s="59"/>
      <c r="BM6" s="59"/>
      <c r="BN6" s="60"/>
      <c r="BO6" s="60">
        <v>203768.21000000005</v>
      </c>
    </row>
    <row r="7" spans="1:67" x14ac:dyDescent="0.25">
      <c r="A7" s="24" t="s">
        <v>23</v>
      </c>
      <c r="B7" s="119" t="s">
        <v>24</v>
      </c>
      <c r="C7" s="117">
        <f t="shared" si="2"/>
        <v>26</v>
      </c>
      <c r="D7" s="25">
        <f t="shared" si="3"/>
        <v>1124.5350000000001</v>
      </c>
      <c r="E7" s="25">
        <f t="shared" si="0"/>
        <v>0</v>
      </c>
      <c r="F7" s="25">
        <f t="shared" si="0"/>
        <v>0</v>
      </c>
      <c r="G7" s="25">
        <f t="shared" si="0"/>
        <v>0</v>
      </c>
      <c r="H7" s="25">
        <f t="shared" si="0"/>
        <v>0</v>
      </c>
      <c r="I7" s="25">
        <f t="shared" si="0"/>
        <v>0</v>
      </c>
      <c r="J7" s="25">
        <f t="shared" si="0"/>
        <v>123.68500000000002</v>
      </c>
      <c r="K7" s="25">
        <f t="shared" si="0"/>
        <v>0</v>
      </c>
      <c r="L7" s="25">
        <f t="shared" si="0"/>
        <v>99.986538461538458</v>
      </c>
      <c r="M7" s="25">
        <f t="shared" si="0"/>
        <v>163.61807692307681</v>
      </c>
      <c r="N7" s="25">
        <f t="shared" si="0"/>
        <v>156.31</v>
      </c>
      <c r="O7" s="25">
        <f t="shared" si="0"/>
        <v>0</v>
      </c>
      <c r="P7" s="25">
        <f t="shared" si="0"/>
        <v>0</v>
      </c>
      <c r="Q7" s="25">
        <f t="shared" si="0"/>
        <v>27.737307692307695</v>
      </c>
      <c r="R7" s="25">
        <f t="shared" si="0"/>
        <v>38.724999999999994</v>
      </c>
      <c r="S7" s="25">
        <f t="shared" si="0"/>
        <v>1577.2599999999998</v>
      </c>
      <c r="T7" s="25">
        <f t="shared" si="0"/>
        <v>6044.3703846153867</v>
      </c>
      <c r="U7" s="25">
        <f t="shared" si="0"/>
        <v>0</v>
      </c>
      <c r="V7" s="25">
        <f t="shared" si="0"/>
        <v>31.113461538461539</v>
      </c>
      <c r="W7" s="26">
        <f t="shared" si="0"/>
        <v>53.970769230769228</v>
      </c>
      <c r="Y7" s="24">
        <v>180.81</v>
      </c>
      <c r="Z7" s="25">
        <f t="shared" ref="Z7:AP7" si="6">AU7/$Y$7</f>
        <v>161.70516011282561</v>
      </c>
      <c r="AA7" s="25">
        <f t="shared" si="6"/>
        <v>0</v>
      </c>
      <c r="AB7" s="25">
        <f t="shared" si="6"/>
        <v>0</v>
      </c>
      <c r="AC7" s="25">
        <f t="shared" si="6"/>
        <v>0</v>
      </c>
      <c r="AD7" s="25">
        <f t="shared" si="6"/>
        <v>0</v>
      </c>
      <c r="AE7" s="25">
        <f t="shared" si="6"/>
        <v>0</v>
      </c>
      <c r="AF7" s="25">
        <f t="shared" si="6"/>
        <v>17.785576019025498</v>
      </c>
      <c r="AG7" s="25">
        <f t="shared" si="6"/>
        <v>0</v>
      </c>
      <c r="AH7" s="25">
        <f t="shared" si="6"/>
        <v>14.377799900447984</v>
      </c>
      <c r="AI7" s="25">
        <f t="shared" si="6"/>
        <v>23.527846911122154</v>
      </c>
      <c r="AJ7" s="25">
        <f t="shared" si="6"/>
        <v>22.476964769647697</v>
      </c>
      <c r="AK7" s="25">
        <f t="shared" si="6"/>
        <v>0</v>
      </c>
      <c r="AL7" s="25">
        <f t="shared" si="6"/>
        <v>0</v>
      </c>
      <c r="AM7" s="25">
        <f t="shared" si="6"/>
        <v>3.9885515181682432</v>
      </c>
      <c r="AN7" s="25">
        <f t="shared" si="6"/>
        <v>5.5685526243017529</v>
      </c>
      <c r="AO7" s="25">
        <f t="shared" si="6"/>
        <v>226.80581826226421</v>
      </c>
      <c r="AP7" s="25">
        <f t="shared" si="6"/>
        <v>869.16448205298411</v>
      </c>
      <c r="AQ7" s="25">
        <f>BL7/$Y$7</f>
        <v>0</v>
      </c>
      <c r="AR7" s="25">
        <f>BM7/$Y$7</f>
        <v>4.4740335158453624</v>
      </c>
      <c r="AS7" s="26">
        <f>BN7/$Y$7</f>
        <v>7.7608539350699628</v>
      </c>
      <c r="AU7" s="58">
        <v>29237.91</v>
      </c>
      <c r="AV7" s="59"/>
      <c r="AW7" s="59"/>
      <c r="AX7" s="59"/>
      <c r="AY7" s="59"/>
      <c r="AZ7" s="59"/>
      <c r="BA7" s="59">
        <v>3215.8100000000004</v>
      </c>
      <c r="BB7" s="59"/>
      <c r="BC7" s="59">
        <v>2599.65</v>
      </c>
      <c r="BD7" s="59">
        <v>4254.069999999997</v>
      </c>
      <c r="BE7" s="59">
        <v>4064.06</v>
      </c>
      <c r="BF7" s="59"/>
      <c r="BG7" s="59"/>
      <c r="BH7" s="59">
        <v>721.17000000000007</v>
      </c>
      <c r="BI7" s="59">
        <v>1006.8499999999999</v>
      </c>
      <c r="BJ7" s="59">
        <v>41008.759999999995</v>
      </c>
      <c r="BK7" s="59">
        <v>157153.63000000006</v>
      </c>
      <c r="BL7" s="59"/>
      <c r="BM7" s="59">
        <v>808.95</v>
      </c>
      <c r="BN7" s="60">
        <v>1403.24</v>
      </c>
      <c r="BO7" s="60">
        <v>245474.10000000006</v>
      </c>
    </row>
    <row r="8" spans="1:67" x14ac:dyDescent="0.25">
      <c r="A8" s="24" t="s">
        <v>25</v>
      </c>
      <c r="B8" s="119" t="s">
        <v>26</v>
      </c>
      <c r="C8" s="117">
        <f t="shared" si="2"/>
        <v>84</v>
      </c>
      <c r="D8" s="25">
        <f t="shared" si="3"/>
        <v>553.44916666666654</v>
      </c>
      <c r="E8" s="25">
        <f t="shared" si="0"/>
        <v>153.02166666666668</v>
      </c>
      <c r="F8" s="25">
        <f t="shared" si="0"/>
        <v>0</v>
      </c>
      <c r="G8" s="25">
        <f t="shared" si="0"/>
        <v>0</v>
      </c>
      <c r="H8" s="25">
        <f t="shared" si="0"/>
        <v>0</v>
      </c>
      <c r="I8" s="25">
        <f t="shared" si="0"/>
        <v>0</v>
      </c>
      <c r="J8" s="25">
        <f t="shared" si="0"/>
        <v>132.44404761904764</v>
      </c>
      <c r="K8" s="25">
        <f t="shared" si="0"/>
        <v>0</v>
      </c>
      <c r="L8" s="25">
        <f t="shared" si="0"/>
        <v>71.239523809523831</v>
      </c>
      <c r="M8" s="25">
        <f t="shared" si="0"/>
        <v>116.42559523809528</v>
      </c>
      <c r="N8" s="25">
        <f t="shared" si="0"/>
        <v>103.48750000000001</v>
      </c>
      <c r="O8" s="25">
        <f t="shared" si="0"/>
        <v>420.86238095238099</v>
      </c>
      <c r="P8" s="25">
        <f t="shared" si="0"/>
        <v>0</v>
      </c>
      <c r="Q8" s="25">
        <f t="shared" si="0"/>
        <v>22.593809523809522</v>
      </c>
      <c r="R8" s="25">
        <f t="shared" si="0"/>
        <v>21.773214285714285</v>
      </c>
      <c r="S8" s="25">
        <f t="shared" si="0"/>
        <v>2591.7814285714285</v>
      </c>
      <c r="T8" s="25">
        <f t="shared" si="0"/>
        <v>3208.2358333333332</v>
      </c>
      <c r="U8" s="25">
        <f t="shared" si="0"/>
        <v>0</v>
      </c>
      <c r="V8" s="25">
        <f t="shared" si="0"/>
        <v>39.136904761904759</v>
      </c>
      <c r="W8" s="26">
        <f t="shared" si="0"/>
        <v>41.071428571428569</v>
      </c>
      <c r="Y8" s="24">
        <v>561.46</v>
      </c>
      <c r="Z8" s="25">
        <f t="shared" ref="Z8:AP8" si="7">AU8/$Y$8</f>
        <v>82.801499661596523</v>
      </c>
      <c r="AA8" s="25">
        <f t="shared" si="7"/>
        <v>22.893563210201972</v>
      </c>
      <c r="AB8" s="25">
        <f t="shared" si="7"/>
        <v>0</v>
      </c>
      <c r="AC8" s="25">
        <f t="shared" si="7"/>
        <v>0</v>
      </c>
      <c r="AD8" s="25">
        <f t="shared" si="7"/>
        <v>0</v>
      </c>
      <c r="AE8" s="25">
        <f t="shared" si="7"/>
        <v>0</v>
      </c>
      <c r="AF8" s="25">
        <f t="shared" si="7"/>
        <v>19.814946745983686</v>
      </c>
      <c r="AG8" s="25">
        <f t="shared" si="7"/>
        <v>0</v>
      </c>
      <c r="AH8" s="25">
        <f t="shared" si="7"/>
        <v>10.658141274534252</v>
      </c>
      <c r="AI8" s="25">
        <f t="shared" si="7"/>
        <v>17.418426958287327</v>
      </c>
      <c r="AJ8" s="25">
        <f t="shared" si="7"/>
        <v>15.482759234851994</v>
      </c>
      <c r="AK8" s="25">
        <f t="shared" si="7"/>
        <v>62.965197876963629</v>
      </c>
      <c r="AL8" s="25">
        <f t="shared" si="7"/>
        <v>0</v>
      </c>
      <c r="AM8" s="25">
        <f t="shared" si="7"/>
        <v>3.3802586114772195</v>
      </c>
      <c r="AN8" s="25">
        <f t="shared" si="7"/>
        <v>3.2574894026288606</v>
      </c>
      <c r="AO8" s="25">
        <f t="shared" si="7"/>
        <v>387.75627827449858</v>
      </c>
      <c r="AP8" s="25">
        <f t="shared" si="7"/>
        <v>479.98398817368997</v>
      </c>
      <c r="AQ8" s="25">
        <f>BL8/$Y$8</f>
        <v>0</v>
      </c>
      <c r="AR8" s="25">
        <f>BM8/$Y$8</f>
        <v>5.855270188437288</v>
      </c>
      <c r="AS8" s="26">
        <f>BN8/$Y$8</f>
        <v>6.1446941901471153</v>
      </c>
      <c r="AU8" s="58">
        <v>46489.729999999989</v>
      </c>
      <c r="AV8" s="59">
        <v>12853.82</v>
      </c>
      <c r="AW8" s="59"/>
      <c r="AX8" s="59"/>
      <c r="AY8" s="59"/>
      <c r="AZ8" s="59"/>
      <c r="BA8" s="59">
        <v>11125.300000000001</v>
      </c>
      <c r="BB8" s="59"/>
      <c r="BC8" s="59">
        <v>5984.1200000000017</v>
      </c>
      <c r="BD8" s="59">
        <v>9779.7500000000036</v>
      </c>
      <c r="BE8" s="59">
        <v>8692.9500000000007</v>
      </c>
      <c r="BF8" s="59">
        <v>35352.44</v>
      </c>
      <c r="BG8" s="59"/>
      <c r="BH8" s="59">
        <v>1897.8799999999999</v>
      </c>
      <c r="BI8" s="59">
        <v>1828.95</v>
      </c>
      <c r="BJ8" s="59">
        <v>217709.63999999998</v>
      </c>
      <c r="BK8" s="59">
        <v>269491.81</v>
      </c>
      <c r="BL8" s="59"/>
      <c r="BM8" s="59">
        <v>3287.5</v>
      </c>
      <c r="BN8" s="60">
        <v>3449.9999999999995</v>
      </c>
      <c r="BO8" s="60">
        <v>627943.8899999999</v>
      </c>
    </row>
    <row r="9" spans="1:67" x14ac:dyDescent="0.25">
      <c r="A9" s="24" t="s">
        <v>27</v>
      </c>
      <c r="B9" s="119" t="s">
        <v>28</v>
      </c>
      <c r="C9" s="117">
        <f t="shared" si="2"/>
        <v>26</v>
      </c>
      <c r="D9" s="25">
        <f t="shared" si="3"/>
        <v>843.00423076923084</v>
      </c>
      <c r="E9" s="25">
        <f t="shared" si="0"/>
        <v>0</v>
      </c>
      <c r="F9" s="25">
        <f t="shared" si="0"/>
        <v>0</v>
      </c>
      <c r="G9" s="25">
        <f t="shared" si="0"/>
        <v>586.78538461538471</v>
      </c>
      <c r="H9" s="25">
        <f t="shared" si="0"/>
        <v>0</v>
      </c>
      <c r="I9" s="25">
        <f t="shared" si="0"/>
        <v>0</v>
      </c>
      <c r="J9" s="25">
        <f t="shared" si="0"/>
        <v>200.77769230769232</v>
      </c>
      <c r="K9" s="25">
        <f t="shared" si="0"/>
        <v>2242.5723076923073</v>
      </c>
      <c r="L9" s="25">
        <f t="shared" si="0"/>
        <v>42.016538461538453</v>
      </c>
      <c r="M9" s="25">
        <f t="shared" si="0"/>
        <v>260.87961538461508</v>
      </c>
      <c r="N9" s="25">
        <f t="shared" si="0"/>
        <v>85.776538461538465</v>
      </c>
      <c r="O9" s="25">
        <f t="shared" si="0"/>
        <v>0</v>
      </c>
      <c r="P9" s="25">
        <f t="shared" si="0"/>
        <v>102.32961538461539</v>
      </c>
      <c r="Q9" s="25">
        <f t="shared" si="0"/>
        <v>116.28730769230771</v>
      </c>
      <c r="R9" s="25">
        <f t="shared" si="0"/>
        <v>83.211538461538467</v>
      </c>
      <c r="S9" s="25">
        <f t="shared" si="0"/>
        <v>3387.5342307692304</v>
      </c>
      <c r="T9" s="25">
        <f t="shared" si="0"/>
        <v>4825.3223076923077</v>
      </c>
      <c r="U9" s="25">
        <f t="shared" si="0"/>
        <v>0</v>
      </c>
      <c r="V9" s="25">
        <f t="shared" si="0"/>
        <v>57.153846153846153</v>
      </c>
      <c r="W9" s="26">
        <f t="shared" si="0"/>
        <v>31.821538461538463</v>
      </c>
      <c r="Y9" s="24">
        <v>220</v>
      </c>
      <c r="Z9" s="25">
        <f t="shared" ref="Z9:AP9" si="8">AU9/$Y$9</f>
        <v>99.627772727272728</v>
      </c>
      <c r="AA9" s="25">
        <f t="shared" si="8"/>
        <v>0</v>
      </c>
      <c r="AB9" s="25">
        <f t="shared" si="8"/>
        <v>0</v>
      </c>
      <c r="AC9" s="25">
        <f t="shared" si="8"/>
        <v>69.347363636363639</v>
      </c>
      <c r="AD9" s="25">
        <f t="shared" si="8"/>
        <v>0</v>
      </c>
      <c r="AE9" s="25">
        <f t="shared" si="8"/>
        <v>0</v>
      </c>
      <c r="AF9" s="25">
        <f t="shared" si="8"/>
        <v>23.728272727272728</v>
      </c>
      <c r="AG9" s="25">
        <f t="shared" si="8"/>
        <v>265.03127272727266</v>
      </c>
      <c r="AH9" s="25">
        <f t="shared" si="8"/>
        <v>4.9655909090909081</v>
      </c>
      <c r="AI9" s="25">
        <f t="shared" si="8"/>
        <v>30.831227272727237</v>
      </c>
      <c r="AJ9" s="25">
        <f t="shared" si="8"/>
        <v>10.137227272727273</v>
      </c>
      <c r="AK9" s="25">
        <f t="shared" si="8"/>
        <v>0</v>
      </c>
      <c r="AL9" s="25">
        <f t="shared" si="8"/>
        <v>12.093500000000001</v>
      </c>
      <c r="AM9" s="25">
        <f t="shared" si="8"/>
        <v>13.743045454545456</v>
      </c>
      <c r="AN9" s="25">
        <f t="shared" si="8"/>
        <v>9.834090909090909</v>
      </c>
      <c r="AO9" s="25">
        <f t="shared" si="8"/>
        <v>400.34495454545447</v>
      </c>
      <c r="AP9" s="25">
        <f t="shared" si="8"/>
        <v>570.26536363636365</v>
      </c>
      <c r="AQ9" s="25">
        <f>BL9/$Y$9</f>
        <v>0</v>
      </c>
      <c r="AR9" s="25">
        <f>BM9/$Y$9</f>
        <v>6.7545454545454549</v>
      </c>
      <c r="AS9" s="26">
        <f>BN9/$Y$9</f>
        <v>3.7607272727272729</v>
      </c>
      <c r="AU9" s="58">
        <v>21918.11</v>
      </c>
      <c r="AV9" s="59"/>
      <c r="AW9" s="59"/>
      <c r="AX9" s="59">
        <v>15256.420000000002</v>
      </c>
      <c r="AY9" s="59"/>
      <c r="AZ9" s="59"/>
      <c r="BA9" s="59">
        <v>5220.22</v>
      </c>
      <c r="BB9" s="59">
        <v>58306.87999999999</v>
      </c>
      <c r="BC9" s="59">
        <v>1092.4299999999998</v>
      </c>
      <c r="BD9" s="59">
        <v>6782.8699999999917</v>
      </c>
      <c r="BE9" s="59">
        <v>2230.19</v>
      </c>
      <c r="BF9" s="59"/>
      <c r="BG9" s="59">
        <v>2660.57</v>
      </c>
      <c r="BH9" s="59">
        <v>3023.4700000000003</v>
      </c>
      <c r="BI9" s="59">
        <v>2163.5</v>
      </c>
      <c r="BJ9" s="59">
        <v>88075.889999999985</v>
      </c>
      <c r="BK9" s="59">
        <v>125458.38</v>
      </c>
      <c r="BL9" s="59"/>
      <c r="BM9" s="59">
        <v>1486</v>
      </c>
      <c r="BN9" s="60">
        <v>827.36</v>
      </c>
      <c r="BO9" s="60">
        <v>334502.28999999998</v>
      </c>
    </row>
    <row r="10" spans="1:67" x14ac:dyDescent="0.25">
      <c r="A10" s="24" t="s">
        <v>29</v>
      </c>
      <c r="B10" s="119" t="s">
        <v>30</v>
      </c>
      <c r="C10" s="117">
        <f t="shared" si="2"/>
        <v>49</v>
      </c>
      <c r="D10" s="25">
        <f t="shared" si="3"/>
        <v>893.19693877550969</v>
      </c>
      <c r="E10" s="25">
        <f t="shared" si="0"/>
        <v>0</v>
      </c>
      <c r="F10" s="25">
        <f t="shared" si="0"/>
        <v>0</v>
      </c>
      <c r="G10" s="25">
        <f t="shared" si="0"/>
        <v>0</v>
      </c>
      <c r="H10" s="25">
        <f t="shared" si="0"/>
        <v>0</v>
      </c>
      <c r="I10" s="25">
        <f t="shared" si="0"/>
        <v>0</v>
      </c>
      <c r="J10" s="25">
        <f t="shared" si="0"/>
        <v>175.99387755102038</v>
      </c>
      <c r="K10" s="25">
        <f t="shared" si="0"/>
        <v>0</v>
      </c>
      <c r="L10" s="25">
        <f t="shared" si="0"/>
        <v>65.096530612244905</v>
      </c>
      <c r="M10" s="25">
        <f t="shared" si="0"/>
        <v>127.09775510204058</v>
      </c>
      <c r="N10" s="25">
        <f t="shared" si="0"/>
        <v>405.12244897959181</v>
      </c>
      <c r="O10" s="25">
        <f t="shared" si="0"/>
        <v>1547.3010204081634</v>
      </c>
      <c r="P10" s="25">
        <f t="shared" si="0"/>
        <v>0</v>
      </c>
      <c r="Q10" s="25">
        <f t="shared" si="0"/>
        <v>67.266530612244892</v>
      </c>
      <c r="R10" s="25">
        <f t="shared" si="0"/>
        <v>0</v>
      </c>
      <c r="S10" s="25">
        <f t="shared" si="0"/>
        <v>2893.7618367346936</v>
      </c>
      <c r="T10" s="25">
        <f t="shared" si="0"/>
        <v>3652.5212244897957</v>
      </c>
      <c r="U10" s="25">
        <f t="shared" si="0"/>
        <v>0</v>
      </c>
      <c r="V10" s="25">
        <f t="shared" si="0"/>
        <v>55.061224489795919</v>
      </c>
      <c r="W10" s="26">
        <f t="shared" si="0"/>
        <v>43.042653061224492</v>
      </c>
      <c r="Y10" s="24">
        <v>247.41</v>
      </c>
      <c r="Z10" s="25">
        <f t="shared" ref="Z10:AP10" si="9">AU10/$Y$10</f>
        <v>176.89927650458742</v>
      </c>
      <c r="AA10" s="25">
        <f t="shared" si="9"/>
        <v>0</v>
      </c>
      <c r="AB10" s="25">
        <f t="shared" si="9"/>
        <v>0</v>
      </c>
      <c r="AC10" s="25">
        <f t="shared" si="9"/>
        <v>0</v>
      </c>
      <c r="AD10" s="25">
        <f t="shared" si="9"/>
        <v>0</v>
      </c>
      <c r="AE10" s="25">
        <f t="shared" si="9"/>
        <v>0</v>
      </c>
      <c r="AF10" s="25">
        <f t="shared" si="9"/>
        <v>34.855907198577256</v>
      </c>
      <c r="AG10" s="25">
        <f t="shared" si="9"/>
        <v>0</v>
      </c>
      <c r="AH10" s="25">
        <f t="shared" si="9"/>
        <v>12.892486156582192</v>
      </c>
      <c r="AI10" s="25">
        <f t="shared" si="9"/>
        <v>25.171941311992192</v>
      </c>
      <c r="AJ10" s="25">
        <f t="shared" si="9"/>
        <v>80.23523705589912</v>
      </c>
      <c r="AK10" s="25">
        <f t="shared" si="9"/>
        <v>306.44577826280266</v>
      </c>
      <c r="AL10" s="25">
        <f t="shared" si="9"/>
        <v>0</v>
      </c>
      <c r="AM10" s="25">
        <f t="shared" si="9"/>
        <v>13.322258599086535</v>
      </c>
      <c r="AN10" s="25">
        <f t="shared" si="9"/>
        <v>0</v>
      </c>
      <c r="AO10" s="25">
        <f t="shared" si="9"/>
        <v>573.11478921628066</v>
      </c>
      <c r="AP10" s="25">
        <f t="shared" si="9"/>
        <v>723.3884644921385</v>
      </c>
      <c r="AQ10" s="25">
        <f>BL10/$Y$10</f>
        <v>0</v>
      </c>
      <c r="AR10" s="25">
        <f>BM10/$Y$10</f>
        <v>10.904975546663433</v>
      </c>
      <c r="AS10" s="26">
        <f>BN10/$Y$10</f>
        <v>8.5246756396265315</v>
      </c>
      <c r="AU10" s="58">
        <v>43766.649999999972</v>
      </c>
      <c r="AV10" s="59"/>
      <c r="AW10" s="59"/>
      <c r="AX10" s="59"/>
      <c r="AY10" s="59"/>
      <c r="AZ10" s="59"/>
      <c r="BA10" s="59">
        <v>8623.6999999999989</v>
      </c>
      <c r="BB10" s="59"/>
      <c r="BC10" s="59">
        <v>3189.73</v>
      </c>
      <c r="BD10" s="59">
        <v>6227.7899999999881</v>
      </c>
      <c r="BE10" s="59">
        <v>19851</v>
      </c>
      <c r="BF10" s="59">
        <v>75817.75</v>
      </c>
      <c r="BG10" s="59"/>
      <c r="BH10" s="59">
        <v>3296.0599999999995</v>
      </c>
      <c r="BI10" s="59"/>
      <c r="BJ10" s="59">
        <v>141794.32999999999</v>
      </c>
      <c r="BK10" s="59">
        <v>178973.53999999998</v>
      </c>
      <c r="BL10" s="59"/>
      <c r="BM10" s="59">
        <v>2698</v>
      </c>
      <c r="BN10" s="60">
        <v>2109.09</v>
      </c>
      <c r="BO10" s="60">
        <v>486347.63999999996</v>
      </c>
    </row>
    <row r="11" spans="1:67" x14ac:dyDescent="0.25">
      <c r="A11" s="24" t="s">
        <v>31</v>
      </c>
      <c r="B11" s="119" t="s">
        <v>32</v>
      </c>
      <c r="C11" s="117">
        <f t="shared" si="2"/>
        <v>54</v>
      </c>
      <c r="D11" s="25">
        <f t="shared" si="3"/>
        <v>787.78999999999951</v>
      </c>
      <c r="E11" s="25">
        <f t="shared" si="0"/>
        <v>0</v>
      </c>
      <c r="F11" s="25">
        <f t="shared" si="0"/>
        <v>0</v>
      </c>
      <c r="G11" s="25">
        <f t="shared" si="0"/>
        <v>413.76666666666671</v>
      </c>
      <c r="H11" s="25">
        <f t="shared" si="0"/>
        <v>0</v>
      </c>
      <c r="I11" s="25">
        <f t="shared" si="0"/>
        <v>0</v>
      </c>
      <c r="J11" s="25">
        <f t="shared" si="0"/>
        <v>84.339444444444439</v>
      </c>
      <c r="K11" s="25">
        <f t="shared" si="0"/>
        <v>0</v>
      </c>
      <c r="L11" s="25">
        <f t="shared" si="0"/>
        <v>63.850000000000009</v>
      </c>
      <c r="M11" s="25">
        <f t="shared" si="0"/>
        <v>85.574629629629484</v>
      </c>
      <c r="N11" s="25">
        <f t="shared" si="0"/>
        <v>95.366111111111124</v>
      </c>
      <c r="O11" s="25">
        <f t="shared" si="0"/>
        <v>98.428148148148111</v>
      </c>
      <c r="P11" s="25">
        <f t="shared" si="0"/>
        <v>0</v>
      </c>
      <c r="Q11" s="25">
        <f t="shared" si="0"/>
        <v>24.229444444444447</v>
      </c>
      <c r="R11" s="25">
        <f t="shared" si="0"/>
        <v>35.445185185185181</v>
      </c>
      <c r="S11" s="25">
        <f t="shared" si="0"/>
        <v>5021.6942592592595</v>
      </c>
      <c r="T11" s="25">
        <f t="shared" si="0"/>
        <v>2429.6333333333318</v>
      </c>
      <c r="U11" s="25">
        <f t="shared" si="0"/>
        <v>0</v>
      </c>
      <c r="V11" s="25">
        <f t="shared" si="0"/>
        <v>27.25925925925926</v>
      </c>
      <c r="W11" s="26">
        <f t="shared" si="0"/>
        <v>17.592962962962964</v>
      </c>
      <c r="Y11" s="24">
        <v>324.29000000000002</v>
      </c>
      <c r="Z11" s="25">
        <f t="shared" ref="Z11:AP11" si="10">AU11/$Y$11</f>
        <v>131.18091831385479</v>
      </c>
      <c r="AA11" s="25">
        <f t="shared" si="10"/>
        <v>0</v>
      </c>
      <c r="AB11" s="25">
        <f t="shared" si="10"/>
        <v>0</v>
      </c>
      <c r="AC11" s="25">
        <f t="shared" si="10"/>
        <v>68.899441857596599</v>
      </c>
      <c r="AD11" s="25">
        <f t="shared" si="10"/>
        <v>0</v>
      </c>
      <c r="AE11" s="25">
        <f t="shared" si="10"/>
        <v>0</v>
      </c>
      <c r="AF11" s="25">
        <f t="shared" si="10"/>
        <v>14.044003823738011</v>
      </c>
      <c r="AG11" s="25">
        <f t="shared" si="10"/>
        <v>0</v>
      </c>
      <c r="AH11" s="25">
        <f t="shared" si="10"/>
        <v>10.632150235899967</v>
      </c>
      <c r="AI11" s="25">
        <f t="shared" si="10"/>
        <v>14.249683924882026</v>
      </c>
      <c r="AJ11" s="25">
        <f t="shared" si="10"/>
        <v>15.880138147953993</v>
      </c>
      <c r="AK11" s="25">
        <f t="shared" si="10"/>
        <v>16.390021277251837</v>
      </c>
      <c r="AL11" s="25">
        <f t="shared" si="10"/>
        <v>0</v>
      </c>
      <c r="AM11" s="25">
        <f t="shared" si="10"/>
        <v>4.0346294982885693</v>
      </c>
      <c r="AN11" s="25">
        <f t="shared" si="10"/>
        <v>5.9022479879120535</v>
      </c>
      <c r="AO11" s="25">
        <f t="shared" si="10"/>
        <v>836.20059206265989</v>
      </c>
      <c r="AP11" s="25">
        <f t="shared" si="10"/>
        <v>404.57676770791551</v>
      </c>
      <c r="AQ11" s="25">
        <f>BL11/$Y$11</f>
        <v>0</v>
      </c>
      <c r="AR11" s="25">
        <f>BM11/$Y$11</f>
        <v>4.5391470597304879</v>
      </c>
      <c r="AS11" s="26">
        <f>BN11/$Y$11</f>
        <v>2.9295383761448086</v>
      </c>
      <c r="AU11" s="58">
        <v>42540.659999999974</v>
      </c>
      <c r="AV11" s="59"/>
      <c r="AW11" s="59"/>
      <c r="AX11" s="59">
        <v>22343.4</v>
      </c>
      <c r="AY11" s="59"/>
      <c r="AZ11" s="59"/>
      <c r="BA11" s="59">
        <v>4554.33</v>
      </c>
      <c r="BB11" s="59"/>
      <c r="BC11" s="59">
        <v>3447.9000000000005</v>
      </c>
      <c r="BD11" s="59">
        <v>4621.0299999999925</v>
      </c>
      <c r="BE11" s="59">
        <v>5149.7700000000004</v>
      </c>
      <c r="BF11" s="59">
        <v>5315.1199999999981</v>
      </c>
      <c r="BG11" s="59"/>
      <c r="BH11" s="59">
        <v>1308.3900000000001</v>
      </c>
      <c r="BI11" s="59">
        <v>1914.04</v>
      </c>
      <c r="BJ11" s="59">
        <v>271171.49</v>
      </c>
      <c r="BK11" s="59">
        <v>131200.19999999992</v>
      </c>
      <c r="BL11" s="59"/>
      <c r="BM11" s="59">
        <v>1472</v>
      </c>
      <c r="BN11" s="60">
        <v>950.0200000000001</v>
      </c>
      <c r="BO11" s="60">
        <v>495988.34999999986</v>
      </c>
    </row>
    <row r="12" spans="1:67" x14ac:dyDescent="0.25">
      <c r="A12" s="27" t="s">
        <v>33</v>
      </c>
      <c r="B12" s="120" t="s">
        <v>34</v>
      </c>
      <c r="C12" s="118">
        <f t="shared" si="2"/>
        <v>58</v>
      </c>
      <c r="D12" s="28">
        <f t="shared" si="3"/>
        <v>817.06137931034482</v>
      </c>
      <c r="E12" s="28">
        <f t="shared" si="0"/>
        <v>50.587586206896553</v>
      </c>
      <c r="F12" s="28">
        <f t="shared" si="0"/>
        <v>0</v>
      </c>
      <c r="G12" s="28">
        <f t="shared" si="0"/>
        <v>0</v>
      </c>
      <c r="H12" s="28">
        <f t="shared" si="0"/>
        <v>0</v>
      </c>
      <c r="I12" s="28">
        <f t="shared" si="0"/>
        <v>196.38172413793106</v>
      </c>
      <c r="J12" s="28">
        <f t="shared" si="0"/>
        <v>133.51793103448273</v>
      </c>
      <c r="K12" s="28">
        <f t="shared" si="0"/>
        <v>0</v>
      </c>
      <c r="L12" s="28">
        <f t="shared" si="0"/>
        <v>82.955000000000013</v>
      </c>
      <c r="M12" s="28">
        <f t="shared" si="0"/>
        <v>56.248448275862081</v>
      </c>
      <c r="N12" s="28">
        <f t="shared" si="0"/>
        <v>172.22758620689655</v>
      </c>
      <c r="O12" s="28">
        <f t="shared" si="0"/>
        <v>0</v>
      </c>
      <c r="P12" s="28">
        <f t="shared" si="0"/>
        <v>0</v>
      </c>
      <c r="Q12" s="28">
        <f t="shared" si="0"/>
        <v>8.9436206896551731</v>
      </c>
      <c r="R12" s="28">
        <f t="shared" si="0"/>
        <v>0</v>
      </c>
      <c r="S12" s="28">
        <f t="shared" si="0"/>
        <v>3845.4589655172413</v>
      </c>
      <c r="T12" s="28">
        <f t="shared" si="0"/>
        <v>4314.0115517241366</v>
      </c>
      <c r="U12" s="28">
        <f t="shared" si="0"/>
        <v>0</v>
      </c>
      <c r="V12" s="28">
        <f t="shared" si="0"/>
        <v>23.569827586206895</v>
      </c>
      <c r="W12" s="29">
        <f t="shared" si="0"/>
        <v>2.6194827586206899</v>
      </c>
      <c r="Y12" s="27">
        <v>374.57</v>
      </c>
      <c r="Z12" s="28">
        <f>AU12/$Y$12</f>
        <v>126.51723309394772</v>
      </c>
      <c r="AA12" s="28">
        <f t="shared" ref="AA12:AP12" si="11">AV12/$Y$12</f>
        <v>7.8331953973890061</v>
      </c>
      <c r="AB12" s="28">
        <f t="shared" si="11"/>
        <v>0</v>
      </c>
      <c r="AC12" s="28">
        <f t="shared" si="11"/>
        <v>0</v>
      </c>
      <c r="AD12" s="28">
        <f t="shared" si="11"/>
        <v>0</v>
      </c>
      <c r="AE12" s="28">
        <f t="shared" si="11"/>
        <v>30.40857516619057</v>
      </c>
      <c r="AF12" s="28">
        <f t="shared" si="11"/>
        <v>20.674480070480815</v>
      </c>
      <c r="AG12" s="28">
        <f t="shared" si="11"/>
        <v>0</v>
      </c>
      <c r="AH12" s="28">
        <f t="shared" si="11"/>
        <v>12.845102384067065</v>
      </c>
      <c r="AI12" s="28">
        <f t="shared" si="11"/>
        <v>8.7097471767626899</v>
      </c>
      <c r="AJ12" s="28">
        <f t="shared" si="11"/>
        <v>26.668446485303146</v>
      </c>
      <c r="AK12" s="28">
        <f t="shared" si="11"/>
        <v>0</v>
      </c>
      <c r="AL12" s="28">
        <f t="shared" si="11"/>
        <v>0</v>
      </c>
      <c r="AM12" s="28">
        <f t="shared" si="11"/>
        <v>1.384867981952639</v>
      </c>
      <c r="AN12" s="28">
        <f t="shared" si="11"/>
        <v>0</v>
      </c>
      <c r="AO12" s="28">
        <f t="shared" si="11"/>
        <v>595.44709934057721</v>
      </c>
      <c r="AP12" s="28">
        <f t="shared" si="11"/>
        <v>667.99975972448385</v>
      </c>
      <c r="AQ12" s="28">
        <f>BL12/$Y$12</f>
        <v>0</v>
      </c>
      <c r="AR12" s="28">
        <f>BM12/$Y$12</f>
        <v>3.6496516005019086</v>
      </c>
      <c r="AS12" s="29">
        <f>BN12/$Y$12</f>
        <v>0.40561176816082445</v>
      </c>
      <c r="AU12" s="61">
        <v>47389.56</v>
      </c>
      <c r="AV12" s="62">
        <v>2934.08</v>
      </c>
      <c r="AW12" s="62"/>
      <c r="AX12" s="62"/>
      <c r="AY12" s="62"/>
      <c r="AZ12" s="62">
        <v>11390.140000000001</v>
      </c>
      <c r="BA12" s="62">
        <v>7744.0399999999991</v>
      </c>
      <c r="BB12" s="62"/>
      <c r="BC12" s="62">
        <v>4811.3900000000003</v>
      </c>
      <c r="BD12" s="62">
        <v>3262.4100000000008</v>
      </c>
      <c r="BE12" s="62">
        <v>9989.1999999999989</v>
      </c>
      <c r="BF12" s="62"/>
      <c r="BG12" s="62"/>
      <c r="BH12" s="62">
        <v>518.73</v>
      </c>
      <c r="BI12" s="62"/>
      <c r="BJ12" s="62">
        <v>223036.62</v>
      </c>
      <c r="BK12" s="62">
        <v>250212.6699999999</v>
      </c>
      <c r="BL12" s="62"/>
      <c r="BM12" s="62">
        <v>1367.05</v>
      </c>
      <c r="BN12" s="63">
        <v>151.93</v>
      </c>
      <c r="BO12" s="63">
        <v>562807.81999999995</v>
      </c>
    </row>
    <row r="14" spans="1:67" s="52" customFormat="1" ht="15" customHeight="1" x14ac:dyDescent="0.25">
      <c r="AU14" s="53"/>
      <c r="AV14" s="53"/>
      <c r="AW14" s="53"/>
      <c r="AX14" s="53"/>
      <c r="AY14" s="53"/>
      <c r="AZ14" s="53"/>
      <c r="BA14" s="53"/>
      <c r="BB14" s="53"/>
      <c r="BC14" s="53"/>
      <c r="BD14" s="53"/>
      <c r="BE14" s="53"/>
      <c r="BF14" s="53"/>
      <c r="BG14" s="53"/>
      <c r="BH14" s="53"/>
      <c r="BI14" s="53"/>
      <c r="BJ14" s="53"/>
      <c r="BK14" s="53"/>
      <c r="BL14" s="53"/>
      <c r="BM14" s="53"/>
      <c r="BN14" s="53"/>
      <c r="BO14" s="53"/>
    </row>
    <row r="15" spans="1:67" x14ac:dyDescent="0.25">
      <c r="A15" s="97" t="s">
        <v>422</v>
      </c>
      <c r="B15" s="3"/>
      <c r="C15" s="3"/>
      <c r="D15" s="3"/>
      <c r="E15" s="3"/>
      <c r="F15" s="3"/>
      <c r="G15" s="98"/>
      <c r="H15" s="3"/>
      <c r="I15" s="3"/>
      <c r="J15" s="3"/>
      <c r="K15" s="3"/>
      <c r="L15" s="3"/>
      <c r="M15" s="3"/>
      <c r="N15" s="3"/>
      <c r="O15" s="3"/>
      <c r="P15" s="3"/>
      <c r="Q15" s="3"/>
      <c r="R15" s="3"/>
      <c r="S15" s="95"/>
      <c r="T15" s="95"/>
    </row>
    <row r="16" spans="1:67" x14ac:dyDescent="0.25">
      <c r="A16" s="99" t="s">
        <v>423</v>
      </c>
      <c r="B16" s="93"/>
      <c r="C16" s="93"/>
      <c r="D16" s="93"/>
      <c r="E16" s="93"/>
      <c r="F16" s="93"/>
      <c r="G16" s="93"/>
      <c r="H16" s="93"/>
      <c r="I16" s="93"/>
      <c r="J16" s="93"/>
      <c r="K16" s="93"/>
      <c r="L16" s="93"/>
      <c r="M16" s="93"/>
      <c r="N16" s="93"/>
      <c r="O16" s="93"/>
      <c r="P16" s="93"/>
      <c r="Q16" s="93"/>
      <c r="R16" s="93"/>
      <c r="S16" s="95"/>
      <c r="T16" s="96" t="s">
        <v>397</v>
      </c>
    </row>
    <row r="17" spans="1:20" x14ac:dyDescent="0.25">
      <c r="A17" s="68"/>
      <c r="B17" s="68"/>
      <c r="C17" s="68"/>
      <c r="D17" s="68"/>
      <c r="E17" s="68"/>
      <c r="F17" s="69"/>
      <c r="G17" s="70"/>
      <c r="H17" s="71">
        <v>12</v>
      </c>
      <c r="I17" s="71">
        <v>15</v>
      </c>
      <c r="J17" s="71">
        <v>11</v>
      </c>
      <c r="K17" s="71">
        <v>12</v>
      </c>
      <c r="L17" s="71">
        <v>15</v>
      </c>
      <c r="M17" s="71">
        <v>11</v>
      </c>
      <c r="N17" s="71">
        <v>12</v>
      </c>
      <c r="O17" s="71">
        <v>15</v>
      </c>
      <c r="P17" s="71">
        <v>11</v>
      </c>
      <c r="Q17" s="68" t="s">
        <v>391</v>
      </c>
      <c r="R17" s="90" t="s">
        <v>393</v>
      </c>
      <c r="S17" s="91" t="s">
        <v>394</v>
      </c>
      <c r="T17" s="91" t="s">
        <v>395</v>
      </c>
    </row>
    <row r="18" spans="1:20" x14ac:dyDescent="0.25">
      <c r="A18" s="68"/>
      <c r="B18" s="68"/>
      <c r="C18" s="68"/>
      <c r="D18" s="68"/>
      <c r="E18" s="68"/>
      <c r="F18" s="69"/>
      <c r="G18" s="70"/>
      <c r="H18" s="148" t="s">
        <v>378</v>
      </c>
      <c r="I18" s="148"/>
      <c r="J18" s="148"/>
      <c r="K18" s="148" t="s">
        <v>379</v>
      </c>
      <c r="L18" s="148"/>
      <c r="M18" s="148"/>
      <c r="N18" s="148" t="s">
        <v>380</v>
      </c>
      <c r="O18" s="148"/>
      <c r="P18" s="148"/>
      <c r="Q18" s="68" t="s">
        <v>392</v>
      </c>
      <c r="R18" s="68" t="s">
        <v>392</v>
      </c>
      <c r="S18" s="91" t="s">
        <v>392</v>
      </c>
      <c r="T18" s="91" t="s">
        <v>396</v>
      </c>
    </row>
    <row r="19" spans="1:20" x14ac:dyDescent="0.25">
      <c r="A19" s="72"/>
      <c r="B19" s="72"/>
      <c r="C19" s="72"/>
      <c r="D19" s="73"/>
      <c r="E19" s="73"/>
      <c r="F19" s="74"/>
      <c r="G19" s="70"/>
      <c r="H19" s="75" t="s">
        <v>381</v>
      </c>
      <c r="I19" s="75" t="s">
        <v>382</v>
      </c>
      <c r="J19" s="75" t="s">
        <v>383</v>
      </c>
      <c r="K19" s="75" t="s">
        <v>381</v>
      </c>
      <c r="L19" s="75" t="s">
        <v>382</v>
      </c>
      <c r="M19" s="75" t="s">
        <v>383</v>
      </c>
      <c r="N19" s="75" t="s">
        <v>381</v>
      </c>
      <c r="O19" s="75" t="s">
        <v>382</v>
      </c>
      <c r="P19" s="75" t="s">
        <v>383</v>
      </c>
      <c r="Q19" s="87"/>
      <c r="R19" s="68"/>
    </row>
    <row r="20" spans="1:20" x14ac:dyDescent="0.25">
      <c r="A20" s="76">
        <v>1001</v>
      </c>
      <c r="B20" s="76">
        <v>8301001</v>
      </c>
      <c r="C20" s="77" t="s">
        <v>19</v>
      </c>
      <c r="D20" s="77" t="s">
        <v>384</v>
      </c>
      <c r="E20" s="77" t="s">
        <v>385</v>
      </c>
      <c r="F20" s="78" t="s">
        <v>386</v>
      </c>
      <c r="G20" s="79" t="s">
        <v>398</v>
      </c>
      <c r="H20" s="76">
        <v>17400</v>
      </c>
      <c r="I20" s="76">
        <v>12270</v>
      </c>
      <c r="J20" s="76">
        <v>9855</v>
      </c>
      <c r="K20" s="76">
        <v>9560</v>
      </c>
      <c r="L20" s="76">
        <v>6043.5</v>
      </c>
      <c r="M20" s="76">
        <v>5944.92</v>
      </c>
      <c r="N20" s="76">
        <v>3570.0000000000009</v>
      </c>
      <c r="O20" s="76">
        <v>2925.0000000000005</v>
      </c>
      <c r="P20" s="76">
        <v>1860.0000000000002</v>
      </c>
      <c r="Q20" s="88">
        <v>39525</v>
      </c>
      <c r="R20" s="88">
        <v>21548.42</v>
      </c>
      <c r="S20" s="92">
        <f>SUM(Q20:R20)</f>
        <v>61073.42</v>
      </c>
      <c r="T20" s="94">
        <f>ROUND((S20/38)/25,0)</f>
        <v>64</v>
      </c>
    </row>
    <row r="21" spans="1:20" x14ac:dyDescent="0.25">
      <c r="A21" s="76">
        <v>1002</v>
      </c>
      <c r="B21" s="76">
        <v>8301002</v>
      </c>
      <c r="C21" s="77" t="s">
        <v>21</v>
      </c>
      <c r="D21" s="77" t="s">
        <v>384</v>
      </c>
      <c r="E21" s="77" t="s">
        <v>385</v>
      </c>
      <c r="F21" s="78" t="s">
        <v>386</v>
      </c>
      <c r="G21" s="79" t="s">
        <v>399</v>
      </c>
      <c r="H21" s="76">
        <v>7248</v>
      </c>
      <c r="I21" s="76">
        <v>6915</v>
      </c>
      <c r="J21" s="76">
        <v>5160</v>
      </c>
      <c r="K21" s="76">
        <v>3022</v>
      </c>
      <c r="L21" s="76">
        <v>2355</v>
      </c>
      <c r="M21" s="76">
        <v>1950</v>
      </c>
      <c r="N21" s="76">
        <v>1664.9999999999998</v>
      </c>
      <c r="O21" s="76">
        <v>945</v>
      </c>
      <c r="P21" s="76">
        <v>1170</v>
      </c>
      <c r="Q21" s="88">
        <v>19323</v>
      </c>
      <c r="R21" s="88">
        <v>7327</v>
      </c>
      <c r="S21" s="92">
        <f t="shared" ref="S21:S27" si="12">SUM(Q21:R21)</f>
        <v>26650</v>
      </c>
      <c r="T21" s="94">
        <f t="shared" ref="T21:T27" si="13">ROUND((S21/38)/25,0)</f>
        <v>28</v>
      </c>
    </row>
    <row r="22" spans="1:20" x14ac:dyDescent="0.25">
      <c r="A22" s="76">
        <v>1012</v>
      </c>
      <c r="B22" s="76">
        <v>8301012</v>
      </c>
      <c r="C22" s="77" t="s">
        <v>23</v>
      </c>
      <c r="D22" s="77" t="s">
        <v>384</v>
      </c>
      <c r="E22" s="77" t="s">
        <v>385</v>
      </c>
      <c r="F22" s="78" t="s">
        <v>386</v>
      </c>
      <c r="G22" s="79" t="s">
        <v>400</v>
      </c>
      <c r="H22" s="76">
        <v>9158</v>
      </c>
      <c r="I22" s="76">
        <v>4807</v>
      </c>
      <c r="J22" s="76">
        <v>4318</v>
      </c>
      <c r="K22" s="76">
        <v>3628</v>
      </c>
      <c r="L22" s="76">
        <v>1278</v>
      </c>
      <c r="M22" s="76">
        <v>1214</v>
      </c>
      <c r="N22" s="76">
        <v>728</v>
      </c>
      <c r="O22" s="76">
        <v>900</v>
      </c>
      <c r="P22" s="76">
        <v>740.00000000000011</v>
      </c>
      <c r="Q22" s="88">
        <v>18283</v>
      </c>
      <c r="R22" s="88">
        <v>6120</v>
      </c>
      <c r="S22" s="92">
        <f t="shared" si="12"/>
        <v>24403</v>
      </c>
      <c r="T22" s="94">
        <f t="shared" si="13"/>
        <v>26</v>
      </c>
    </row>
    <row r="23" spans="1:20" x14ac:dyDescent="0.25">
      <c r="A23" s="76">
        <v>1013</v>
      </c>
      <c r="B23" s="76">
        <v>8301013</v>
      </c>
      <c r="C23" s="77" t="s">
        <v>25</v>
      </c>
      <c r="D23" s="77" t="s">
        <v>384</v>
      </c>
      <c r="E23" s="77" t="s">
        <v>385</v>
      </c>
      <c r="F23" s="78" t="s">
        <v>387</v>
      </c>
      <c r="G23" s="79" t="s">
        <v>401</v>
      </c>
      <c r="H23" s="76">
        <v>23220.87</v>
      </c>
      <c r="I23" s="76">
        <v>17424.57</v>
      </c>
      <c r="J23" s="76">
        <v>15682.119999999999</v>
      </c>
      <c r="K23" s="76">
        <v>9617.66</v>
      </c>
      <c r="L23" s="76">
        <v>7440.03</v>
      </c>
      <c r="M23" s="76">
        <v>6418.1200000000008</v>
      </c>
      <c r="N23" s="76">
        <v>4238.0000000000009</v>
      </c>
      <c r="O23" s="76">
        <v>2196</v>
      </c>
      <c r="P23" s="76">
        <v>3000.0000000000005</v>
      </c>
      <c r="Q23" s="88">
        <v>56327.56</v>
      </c>
      <c r="R23" s="88">
        <v>23475.809999999998</v>
      </c>
      <c r="S23" s="92">
        <f t="shared" si="12"/>
        <v>79803.37</v>
      </c>
      <c r="T23" s="94">
        <f t="shared" si="13"/>
        <v>84</v>
      </c>
    </row>
    <row r="24" spans="1:20" x14ac:dyDescent="0.25">
      <c r="A24" s="76">
        <v>1016</v>
      </c>
      <c r="B24" s="76">
        <v>8301016</v>
      </c>
      <c r="C24" s="77" t="s">
        <v>27</v>
      </c>
      <c r="D24" s="77" t="s">
        <v>384</v>
      </c>
      <c r="E24" s="77" t="s">
        <v>385</v>
      </c>
      <c r="F24" s="78" t="s">
        <v>388</v>
      </c>
      <c r="G24" s="79" t="s">
        <v>28</v>
      </c>
      <c r="H24" s="76">
        <v>8148</v>
      </c>
      <c r="I24" s="76">
        <v>6768</v>
      </c>
      <c r="J24" s="76">
        <v>5648</v>
      </c>
      <c r="K24" s="76">
        <v>2063.0500000000002</v>
      </c>
      <c r="L24" s="76">
        <v>844.5</v>
      </c>
      <c r="M24" s="76">
        <v>1082</v>
      </c>
      <c r="N24" s="76">
        <v>651</v>
      </c>
      <c r="O24" s="76">
        <v>1329.0000000000002</v>
      </c>
      <c r="P24" s="76">
        <v>1020</v>
      </c>
      <c r="Q24" s="88">
        <v>20564</v>
      </c>
      <c r="R24" s="88">
        <v>3989.55</v>
      </c>
      <c r="S24" s="92">
        <f t="shared" si="12"/>
        <v>24553.55</v>
      </c>
      <c r="T24" s="94">
        <f t="shared" si="13"/>
        <v>26</v>
      </c>
    </row>
    <row r="25" spans="1:20" x14ac:dyDescent="0.25">
      <c r="A25" s="76">
        <v>1018</v>
      </c>
      <c r="B25" s="76">
        <v>8301018</v>
      </c>
      <c r="C25" s="77" t="s">
        <v>29</v>
      </c>
      <c r="D25" s="77" t="s">
        <v>384</v>
      </c>
      <c r="E25" s="77" t="s">
        <v>385</v>
      </c>
      <c r="F25" s="78" t="s">
        <v>389</v>
      </c>
      <c r="G25" s="79" t="s">
        <v>402</v>
      </c>
      <c r="H25" s="76">
        <v>14361</v>
      </c>
      <c r="I25" s="76">
        <v>9735</v>
      </c>
      <c r="J25" s="76">
        <v>7710</v>
      </c>
      <c r="K25" s="76">
        <v>6963</v>
      </c>
      <c r="L25" s="76">
        <v>4290</v>
      </c>
      <c r="M25" s="76">
        <v>3190</v>
      </c>
      <c r="N25" s="76">
        <v>3627.0000000000009</v>
      </c>
      <c r="O25" s="76">
        <v>1605</v>
      </c>
      <c r="P25" s="76">
        <v>1500.0000000000002</v>
      </c>
      <c r="Q25" s="88">
        <v>31806</v>
      </c>
      <c r="R25" s="88">
        <v>14443</v>
      </c>
      <c r="S25" s="92">
        <f t="shared" si="12"/>
        <v>46249</v>
      </c>
      <c r="T25" s="94">
        <f t="shared" si="13"/>
        <v>49</v>
      </c>
    </row>
    <row r="26" spans="1:20" x14ac:dyDescent="0.25">
      <c r="A26" s="76">
        <v>1019</v>
      </c>
      <c r="B26" s="76">
        <v>8301019</v>
      </c>
      <c r="C26" s="77" t="s">
        <v>31</v>
      </c>
      <c r="D26" s="77" t="s">
        <v>384</v>
      </c>
      <c r="E26" s="77" t="s">
        <v>385</v>
      </c>
      <c r="F26" s="78" t="s">
        <v>389</v>
      </c>
      <c r="G26" s="79" t="s">
        <v>403</v>
      </c>
      <c r="H26" s="76">
        <v>15212.70297029703</v>
      </c>
      <c r="I26" s="76">
        <v>10605</v>
      </c>
      <c r="J26" s="76">
        <v>9591</v>
      </c>
      <c r="K26" s="76">
        <v>5996</v>
      </c>
      <c r="L26" s="76">
        <v>5193</v>
      </c>
      <c r="M26" s="76">
        <v>4935</v>
      </c>
      <c r="N26" s="76">
        <v>2766.0000000000009</v>
      </c>
      <c r="O26" s="76">
        <v>1956.0000000000002</v>
      </c>
      <c r="P26" s="76">
        <v>1847.9999999999998</v>
      </c>
      <c r="Q26" s="88">
        <v>35408.702970297032</v>
      </c>
      <c r="R26" s="88">
        <v>16124</v>
      </c>
      <c r="S26" s="92">
        <f t="shared" si="12"/>
        <v>51532.702970297032</v>
      </c>
      <c r="T26" s="94">
        <f t="shared" si="13"/>
        <v>54</v>
      </c>
    </row>
    <row r="27" spans="1:20" x14ac:dyDescent="0.25">
      <c r="A27" s="76">
        <v>1020</v>
      </c>
      <c r="B27" s="76">
        <v>8301020</v>
      </c>
      <c r="C27" s="77" t="s">
        <v>33</v>
      </c>
      <c r="D27" s="77" t="s">
        <v>384</v>
      </c>
      <c r="E27" s="77" t="s">
        <v>385</v>
      </c>
      <c r="F27" s="78" t="s">
        <v>387</v>
      </c>
      <c r="G27" s="79" t="s">
        <v>404</v>
      </c>
      <c r="H27" s="76">
        <v>19720</v>
      </c>
      <c r="I27" s="76">
        <v>11066</v>
      </c>
      <c r="J27" s="76">
        <v>10886</v>
      </c>
      <c r="K27" s="76">
        <v>7013</v>
      </c>
      <c r="L27" s="76">
        <v>3426</v>
      </c>
      <c r="M27" s="76">
        <v>3360</v>
      </c>
      <c r="N27" s="76">
        <v>5490.0000000000009</v>
      </c>
      <c r="O27" s="76">
        <v>3174.0000000000005</v>
      </c>
      <c r="P27" s="76">
        <v>2490</v>
      </c>
      <c r="Q27" s="88">
        <v>41672</v>
      </c>
      <c r="R27" s="88">
        <v>13799</v>
      </c>
      <c r="S27" s="92">
        <f t="shared" si="12"/>
        <v>55471</v>
      </c>
      <c r="T27" s="94">
        <f t="shared" si="13"/>
        <v>58</v>
      </c>
    </row>
    <row r="28" spans="1:20" x14ac:dyDescent="0.25">
      <c r="A28" s="80"/>
      <c r="B28" s="80"/>
      <c r="C28" s="80"/>
      <c r="D28" s="81"/>
      <c r="E28" s="81"/>
      <c r="F28" s="82"/>
      <c r="G28" s="83"/>
      <c r="H28" s="83"/>
      <c r="I28" s="83"/>
      <c r="J28" s="83"/>
      <c r="K28" s="83"/>
      <c r="L28" s="83"/>
      <c r="M28" s="83"/>
      <c r="N28" s="83"/>
      <c r="O28" s="83"/>
      <c r="P28" s="83"/>
      <c r="Q28" s="89"/>
      <c r="R28" s="89"/>
    </row>
    <row r="29" spans="1:20" x14ac:dyDescent="0.25">
      <c r="A29" s="84"/>
      <c r="B29" s="84"/>
      <c r="C29" s="84"/>
      <c r="D29" s="84"/>
      <c r="E29" s="84"/>
      <c r="F29" s="84"/>
      <c r="G29" s="85" t="s">
        <v>390</v>
      </c>
      <c r="H29" s="86">
        <f>SUM(H20:H28)</f>
        <v>114468.57297029703</v>
      </c>
      <c r="I29" s="86">
        <f t="shared" ref="I29:R29" si="14">SUM(I20:I28)</f>
        <v>79590.570000000007</v>
      </c>
      <c r="J29" s="86">
        <f t="shared" si="14"/>
        <v>68850.12</v>
      </c>
      <c r="K29" s="86">
        <f t="shared" si="14"/>
        <v>47862.71</v>
      </c>
      <c r="L29" s="86">
        <f t="shared" si="14"/>
        <v>30870.03</v>
      </c>
      <c r="M29" s="86">
        <f t="shared" si="14"/>
        <v>28094.04</v>
      </c>
      <c r="N29" s="86">
        <f t="shared" si="14"/>
        <v>22735.000000000004</v>
      </c>
      <c r="O29" s="86">
        <f t="shared" si="14"/>
        <v>15030</v>
      </c>
      <c r="P29" s="86">
        <f t="shared" si="14"/>
        <v>13628</v>
      </c>
      <c r="Q29" s="86">
        <f t="shared" si="14"/>
        <v>262909.26297029702</v>
      </c>
      <c r="R29" s="86">
        <f t="shared" si="14"/>
        <v>106826.78</v>
      </c>
    </row>
  </sheetData>
  <mergeCells count="3">
    <mergeCell ref="H18:J18"/>
    <mergeCell ref="K18:M18"/>
    <mergeCell ref="N18:P18"/>
  </mergeCells>
  <hyperlinks>
    <hyperlink ref="A15" r:id="rId1" xr:uid="{803E18B6-4159-426A-A2FE-86258009A1F9}"/>
  </hyperlinks>
  <pageMargins left="0.27559055118110237" right="0.19685039370078741" top="0.74803149606299213" bottom="0.74803149606299213" header="0.31496062992125984" footer="0.31496062992125984"/>
  <pageSetup paperSize="9" scale="47" fitToWidth="2" orientation="landscape" r:id="rId2"/>
  <headerFooter>
    <oddFooter>&amp;C_x000D_&amp;1#&amp;"Calibri"&amp;10&amp;K000000 CONTROLLED</oddFooter>
  </headerFooter>
  <colBreaks count="1" manualBreakCount="1">
    <brk id="24" max="12" man="1"/>
  </colBreaks>
  <ignoredErrors>
    <ignoredError sqref="S21:S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B158"/>
  <sheetViews>
    <sheetView topLeftCell="A70" workbookViewId="0">
      <selection activeCell="B30" sqref="B30"/>
    </sheetView>
  </sheetViews>
  <sheetFormatPr defaultRowHeight="15" x14ac:dyDescent="0.25"/>
  <cols>
    <col min="1" max="1" width="25.7109375" bestFit="1" customWidth="1"/>
    <col min="2" max="2" width="29" style="46" bestFit="1" customWidth="1"/>
  </cols>
  <sheetData>
    <row r="1" spans="1:2" s="1" customFormat="1" x14ac:dyDescent="0.25">
      <c r="A1" s="1" t="s">
        <v>82</v>
      </c>
      <c r="B1" s="1" t="s">
        <v>83</v>
      </c>
    </row>
    <row r="2" spans="1:2" x14ac:dyDescent="0.25">
      <c r="A2" t="s">
        <v>0</v>
      </c>
      <c r="B2" s="46" t="s">
        <v>84</v>
      </c>
    </row>
    <row r="3" spans="1:2" x14ac:dyDescent="0.25">
      <c r="B3" s="46" t="s">
        <v>85</v>
      </c>
    </row>
    <row r="4" spans="1:2" x14ac:dyDescent="0.25">
      <c r="B4" s="46" t="s">
        <v>86</v>
      </c>
    </row>
    <row r="5" spans="1:2" x14ac:dyDescent="0.25">
      <c r="B5" s="46" t="s">
        <v>87</v>
      </c>
    </row>
    <row r="6" spans="1:2" x14ac:dyDescent="0.25">
      <c r="B6" s="46" t="s">
        <v>88</v>
      </c>
    </row>
    <row r="7" spans="1:2" x14ac:dyDescent="0.25">
      <c r="B7" s="46" t="s">
        <v>89</v>
      </c>
    </row>
    <row r="8" spans="1:2" x14ac:dyDescent="0.25">
      <c r="B8" s="46" t="s">
        <v>90</v>
      </c>
    </row>
    <row r="9" spans="1:2" x14ac:dyDescent="0.25">
      <c r="B9" s="46" t="s">
        <v>91</v>
      </c>
    </row>
    <row r="10" spans="1:2" x14ac:dyDescent="0.25">
      <c r="B10" s="46" t="s">
        <v>92</v>
      </c>
    </row>
    <row r="11" spans="1:2" x14ac:dyDescent="0.25">
      <c r="B11" s="46" t="s">
        <v>93</v>
      </c>
    </row>
    <row r="12" spans="1:2" x14ac:dyDescent="0.25">
      <c r="B12" s="46" t="s">
        <v>94</v>
      </c>
    </row>
    <row r="14" spans="1:2" x14ac:dyDescent="0.25">
      <c r="A14" t="s">
        <v>68</v>
      </c>
      <c r="B14" s="46" t="s">
        <v>95</v>
      </c>
    </row>
    <row r="15" spans="1:2" x14ac:dyDescent="0.25">
      <c r="B15" s="46" t="s">
        <v>96</v>
      </c>
    </row>
    <row r="16" spans="1:2" x14ac:dyDescent="0.25">
      <c r="B16" s="46" t="s">
        <v>97</v>
      </c>
    </row>
    <row r="17" spans="1:2" x14ac:dyDescent="0.25">
      <c r="B17" s="46" t="s">
        <v>98</v>
      </c>
    </row>
    <row r="18" spans="1:2" x14ac:dyDescent="0.25">
      <c r="B18" s="46" t="s">
        <v>99</v>
      </c>
    </row>
    <row r="19" spans="1:2" x14ac:dyDescent="0.25">
      <c r="B19" s="46" t="s">
        <v>100</v>
      </c>
    </row>
    <row r="21" spans="1:2" x14ac:dyDescent="0.25">
      <c r="A21" t="s">
        <v>1</v>
      </c>
      <c r="B21" s="46" t="s">
        <v>101</v>
      </c>
    </row>
    <row r="22" spans="1:2" x14ac:dyDescent="0.25">
      <c r="B22" s="46" t="s">
        <v>102</v>
      </c>
    </row>
    <row r="23" spans="1:2" x14ac:dyDescent="0.25">
      <c r="B23" s="46" t="s">
        <v>103</v>
      </c>
    </row>
    <row r="24" spans="1:2" x14ac:dyDescent="0.25">
      <c r="B24" s="46" t="s">
        <v>104</v>
      </c>
    </row>
    <row r="25" spans="1:2" x14ac:dyDescent="0.25">
      <c r="B25" s="46" t="s">
        <v>105</v>
      </c>
    </row>
    <row r="27" spans="1:2" x14ac:dyDescent="0.25">
      <c r="A27" t="s">
        <v>15</v>
      </c>
      <c r="B27" s="46" t="s">
        <v>106</v>
      </c>
    </row>
    <row r="28" spans="1:2" x14ac:dyDescent="0.25">
      <c r="B28" s="46" t="s">
        <v>107</v>
      </c>
    </row>
    <row r="29" spans="1:2" x14ac:dyDescent="0.25">
      <c r="B29" s="46" t="s">
        <v>108</v>
      </c>
    </row>
    <row r="30" spans="1:2" x14ac:dyDescent="0.25">
      <c r="B30" s="46" t="s">
        <v>109</v>
      </c>
    </row>
    <row r="31" spans="1:2" x14ac:dyDescent="0.25">
      <c r="B31" s="46" t="s">
        <v>110</v>
      </c>
    </row>
    <row r="32" spans="1:2" x14ac:dyDescent="0.25">
      <c r="B32" s="46" t="s">
        <v>111</v>
      </c>
    </row>
    <row r="33" spans="1:2" x14ac:dyDescent="0.25">
      <c r="B33" s="46" t="s">
        <v>112</v>
      </c>
    </row>
    <row r="34" spans="1:2" x14ac:dyDescent="0.25">
      <c r="B34" s="46" t="s">
        <v>113</v>
      </c>
    </row>
    <row r="35" spans="1:2" x14ac:dyDescent="0.25">
      <c r="B35" s="46" t="s">
        <v>114</v>
      </c>
    </row>
    <row r="36" spans="1:2" x14ac:dyDescent="0.25">
      <c r="B36" s="46" t="s">
        <v>115</v>
      </c>
    </row>
    <row r="37" spans="1:2" x14ac:dyDescent="0.25">
      <c r="B37" s="46" t="s">
        <v>116</v>
      </c>
    </row>
    <row r="38" spans="1:2" x14ac:dyDescent="0.25">
      <c r="B38" s="46" t="s">
        <v>117</v>
      </c>
    </row>
    <row r="39" spans="1:2" x14ac:dyDescent="0.25">
      <c r="B39" s="46" t="s">
        <v>118</v>
      </c>
    </row>
    <row r="40" spans="1:2" x14ac:dyDescent="0.25">
      <c r="B40" s="46" t="s">
        <v>119</v>
      </c>
    </row>
    <row r="41" spans="1:2" x14ac:dyDescent="0.25">
      <c r="B41" s="46" t="s">
        <v>120</v>
      </c>
    </row>
    <row r="42" spans="1:2" x14ac:dyDescent="0.25">
      <c r="B42" s="46" t="s">
        <v>121</v>
      </c>
    </row>
    <row r="43" spans="1:2" x14ac:dyDescent="0.25">
      <c r="B43" s="46" t="s">
        <v>122</v>
      </c>
    </row>
    <row r="44" spans="1:2" x14ac:dyDescent="0.25">
      <c r="B44" s="46" t="s">
        <v>123</v>
      </c>
    </row>
    <row r="46" spans="1:2" x14ac:dyDescent="0.25">
      <c r="A46" t="s">
        <v>69</v>
      </c>
      <c r="B46" s="46" t="s">
        <v>124</v>
      </c>
    </row>
    <row r="47" spans="1:2" x14ac:dyDescent="0.25">
      <c r="B47" s="46" t="s">
        <v>125</v>
      </c>
    </row>
    <row r="48" spans="1:2" x14ac:dyDescent="0.25">
      <c r="B48" s="46" t="s">
        <v>126</v>
      </c>
    </row>
    <row r="49" spans="1:2" x14ac:dyDescent="0.25">
      <c r="B49" s="46" t="s">
        <v>127</v>
      </c>
    </row>
    <row r="50" spans="1:2" x14ac:dyDescent="0.25">
      <c r="B50" s="46" t="s">
        <v>128</v>
      </c>
    </row>
    <row r="51" spans="1:2" x14ac:dyDescent="0.25">
      <c r="B51" s="46" t="s">
        <v>129</v>
      </c>
    </row>
    <row r="53" spans="1:2" x14ac:dyDescent="0.25">
      <c r="A53" t="s">
        <v>16</v>
      </c>
      <c r="B53" s="46" t="s">
        <v>130</v>
      </c>
    </row>
    <row r="54" spans="1:2" x14ac:dyDescent="0.25">
      <c r="B54" s="46" t="s">
        <v>131</v>
      </c>
    </row>
    <row r="55" spans="1:2" x14ac:dyDescent="0.25">
      <c r="B55" s="46" t="s">
        <v>132</v>
      </c>
    </row>
    <row r="56" spans="1:2" x14ac:dyDescent="0.25">
      <c r="B56" s="46" t="s">
        <v>133</v>
      </c>
    </row>
    <row r="57" spans="1:2" x14ac:dyDescent="0.25">
      <c r="B57" s="46" t="s">
        <v>134</v>
      </c>
    </row>
    <row r="58" spans="1:2" x14ac:dyDescent="0.25">
      <c r="B58" s="46" t="s">
        <v>135</v>
      </c>
    </row>
    <row r="59" spans="1:2" x14ac:dyDescent="0.25">
      <c r="B59" s="46" t="s">
        <v>136</v>
      </c>
    </row>
    <row r="60" spans="1:2" x14ac:dyDescent="0.25">
      <c r="B60" s="46" t="s">
        <v>137</v>
      </c>
    </row>
    <row r="61" spans="1:2" x14ac:dyDescent="0.25">
      <c r="B61" s="46" t="s">
        <v>138</v>
      </c>
    </row>
    <row r="62" spans="1:2" x14ac:dyDescent="0.25">
      <c r="B62" s="46" t="s">
        <v>139</v>
      </c>
    </row>
    <row r="63" spans="1:2" x14ac:dyDescent="0.25">
      <c r="B63" s="46" t="s">
        <v>140</v>
      </c>
    </row>
    <row r="64" spans="1:2" x14ac:dyDescent="0.25">
      <c r="B64" s="46" t="s">
        <v>141</v>
      </c>
    </row>
    <row r="65" spans="1:2" x14ac:dyDescent="0.25">
      <c r="B65" s="46" t="s">
        <v>142</v>
      </c>
    </row>
    <row r="67" spans="1:2" x14ac:dyDescent="0.25">
      <c r="A67" t="s">
        <v>143</v>
      </c>
      <c r="B67" s="46" t="s">
        <v>144</v>
      </c>
    </row>
    <row r="68" spans="1:2" x14ac:dyDescent="0.25">
      <c r="B68" s="46" t="s">
        <v>145</v>
      </c>
    </row>
    <row r="69" spans="1:2" x14ac:dyDescent="0.25">
      <c r="B69" s="46" t="s">
        <v>146</v>
      </c>
    </row>
    <row r="70" spans="1:2" x14ac:dyDescent="0.25">
      <c r="B70" s="46" t="s">
        <v>147</v>
      </c>
    </row>
    <row r="71" spans="1:2" x14ac:dyDescent="0.25">
      <c r="B71" s="46" t="s">
        <v>148</v>
      </c>
    </row>
    <row r="73" spans="1:2" x14ac:dyDescent="0.25">
      <c r="A73" t="s">
        <v>2</v>
      </c>
      <c r="B73" s="46" t="s">
        <v>149</v>
      </c>
    </row>
    <row r="75" spans="1:2" x14ac:dyDescent="0.25">
      <c r="A75" t="s">
        <v>14</v>
      </c>
      <c r="B75" s="46" t="s">
        <v>150</v>
      </c>
    </row>
    <row r="76" spans="1:2" x14ac:dyDescent="0.25">
      <c r="B76" s="46" t="s">
        <v>151</v>
      </c>
    </row>
    <row r="77" spans="1:2" x14ac:dyDescent="0.25">
      <c r="B77" s="46" t="s">
        <v>152</v>
      </c>
    </row>
    <row r="78" spans="1:2" x14ac:dyDescent="0.25">
      <c r="B78" s="46" t="s">
        <v>153</v>
      </c>
    </row>
    <row r="79" spans="1:2" x14ac:dyDescent="0.25">
      <c r="B79" s="46" t="s">
        <v>154</v>
      </c>
    </row>
    <row r="80" spans="1:2" x14ac:dyDescent="0.25">
      <c r="B80" s="46" t="s">
        <v>155</v>
      </c>
    </row>
    <row r="82" spans="1:2" x14ac:dyDescent="0.25">
      <c r="A82" t="s">
        <v>3</v>
      </c>
      <c r="B82" s="46" t="s">
        <v>156</v>
      </c>
    </row>
    <row r="84" spans="1:2" x14ac:dyDescent="0.25">
      <c r="A84" t="s">
        <v>157</v>
      </c>
      <c r="B84" s="46" t="s">
        <v>158</v>
      </c>
    </row>
    <row r="85" spans="1:2" x14ac:dyDescent="0.25">
      <c r="B85" s="46" t="s">
        <v>159</v>
      </c>
    </row>
    <row r="86" spans="1:2" x14ac:dyDescent="0.25">
      <c r="B86" s="46" t="s">
        <v>160</v>
      </c>
    </row>
    <row r="87" spans="1:2" x14ac:dyDescent="0.25">
      <c r="B87" s="46" t="s">
        <v>161</v>
      </c>
    </row>
    <row r="88" spans="1:2" x14ac:dyDescent="0.25">
      <c r="B88" s="46" t="s">
        <v>162</v>
      </c>
    </row>
    <row r="89" spans="1:2" x14ac:dyDescent="0.25">
      <c r="B89" s="46" t="s">
        <v>163</v>
      </c>
    </row>
    <row r="91" spans="1:2" x14ac:dyDescent="0.25">
      <c r="A91" t="s">
        <v>425</v>
      </c>
      <c r="B91" s="46" t="s">
        <v>164</v>
      </c>
    </row>
    <row r="92" spans="1:2" x14ac:dyDescent="0.25">
      <c r="B92" s="46" t="s">
        <v>165</v>
      </c>
    </row>
    <row r="94" spans="1:2" x14ac:dyDescent="0.25">
      <c r="A94" t="s">
        <v>12</v>
      </c>
      <c r="B94" s="46" t="s">
        <v>166</v>
      </c>
    </row>
    <row r="95" spans="1:2" x14ac:dyDescent="0.25">
      <c r="B95" s="46" t="s">
        <v>167</v>
      </c>
    </row>
    <row r="96" spans="1:2" x14ac:dyDescent="0.25">
      <c r="B96" s="46" t="s">
        <v>168</v>
      </c>
    </row>
    <row r="97" spans="1:2" x14ac:dyDescent="0.25">
      <c r="B97" s="46" t="s">
        <v>169</v>
      </c>
    </row>
    <row r="98" spans="1:2" x14ac:dyDescent="0.25">
      <c r="B98" s="46" t="s">
        <v>170</v>
      </c>
    </row>
    <row r="99" spans="1:2" x14ac:dyDescent="0.25">
      <c r="B99" s="46" t="s">
        <v>171</v>
      </c>
    </row>
    <row r="100" spans="1:2" x14ac:dyDescent="0.25">
      <c r="B100" s="46" t="s">
        <v>172</v>
      </c>
    </row>
    <row r="102" spans="1:2" x14ac:dyDescent="0.25">
      <c r="A102" t="s">
        <v>70</v>
      </c>
      <c r="B102" s="46" t="s">
        <v>173</v>
      </c>
    </row>
    <row r="103" spans="1:2" x14ac:dyDescent="0.25">
      <c r="B103" s="46" t="s">
        <v>174</v>
      </c>
    </row>
    <row r="104" spans="1:2" x14ac:dyDescent="0.25">
      <c r="B104" s="46" t="s">
        <v>175</v>
      </c>
    </row>
    <row r="105" spans="1:2" x14ac:dyDescent="0.25">
      <c r="B105" s="46" t="s">
        <v>176</v>
      </c>
    </row>
    <row r="106" spans="1:2" x14ac:dyDescent="0.25">
      <c r="B106" s="46" t="s">
        <v>177</v>
      </c>
    </row>
    <row r="107" spans="1:2" x14ac:dyDescent="0.25">
      <c r="B107" s="46" t="s">
        <v>178</v>
      </c>
    </row>
    <row r="109" spans="1:2" x14ac:dyDescent="0.25">
      <c r="A109" t="s">
        <v>179</v>
      </c>
      <c r="B109" s="46" t="s">
        <v>180</v>
      </c>
    </row>
    <row r="110" spans="1:2" x14ac:dyDescent="0.25">
      <c r="B110" s="46" t="s">
        <v>181</v>
      </c>
    </row>
    <row r="111" spans="1:2" x14ac:dyDescent="0.25">
      <c r="B111" s="46" t="s">
        <v>371</v>
      </c>
    </row>
    <row r="113" spans="1:2" x14ac:dyDescent="0.25">
      <c r="A113" t="s">
        <v>4</v>
      </c>
      <c r="B113" s="46" t="s">
        <v>182</v>
      </c>
    </row>
    <row r="115" spans="1:2" x14ac:dyDescent="0.25">
      <c r="A115" t="s">
        <v>5</v>
      </c>
      <c r="B115" s="46" t="s">
        <v>183</v>
      </c>
    </row>
    <row r="116" spans="1:2" x14ac:dyDescent="0.25">
      <c r="B116" s="46" t="s">
        <v>184</v>
      </c>
    </row>
    <row r="117" spans="1:2" x14ac:dyDescent="0.25">
      <c r="B117" s="46" t="s">
        <v>185</v>
      </c>
    </row>
    <row r="118" spans="1:2" x14ac:dyDescent="0.25">
      <c r="B118" s="46" t="s">
        <v>186</v>
      </c>
    </row>
    <row r="119" spans="1:2" x14ac:dyDescent="0.25">
      <c r="B119" s="46" t="s">
        <v>187</v>
      </c>
    </row>
    <row r="120" spans="1:2" x14ac:dyDescent="0.25">
      <c r="B120" s="46" t="s">
        <v>188</v>
      </c>
    </row>
    <row r="122" spans="1:2" x14ac:dyDescent="0.25">
      <c r="A122" t="s">
        <v>189</v>
      </c>
      <c r="B122" s="46" t="s">
        <v>190</v>
      </c>
    </row>
    <row r="124" spans="1:2" x14ac:dyDescent="0.25">
      <c r="A124" t="s">
        <v>10</v>
      </c>
      <c r="B124" s="46" t="s">
        <v>191</v>
      </c>
    </row>
    <row r="125" spans="1:2" x14ac:dyDescent="0.25">
      <c r="B125" s="46" t="s">
        <v>192</v>
      </c>
    </row>
    <row r="126" spans="1:2" x14ac:dyDescent="0.25">
      <c r="B126" s="46" t="s">
        <v>193</v>
      </c>
    </row>
    <row r="127" spans="1:2" x14ac:dyDescent="0.25">
      <c r="B127" s="46" t="s">
        <v>194</v>
      </c>
    </row>
    <row r="128" spans="1:2" x14ac:dyDescent="0.25">
      <c r="B128" s="46" t="s">
        <v>195</v>
      </c>
    </row>
    <row r="129" spans="1:2" x14ac:dyDescent="0.25">
      <c r="B129" s="46" t="s">
        <v>196</v>
      </c>
    </row>
    <row r="130" spans="1:2" x14ac:dyDescent="0.25">
      <c r="B130" s="46" t="s">
        <v>197</v>
      </c>
    </row>
    <row r="131" spans="1:2" x14ac:dyDescent="0.25">
      <c r="B131" s="46" t="s">
        <v>198</v>
      </c>
    </row>
    <row r="133" spans="1:2" x14ac:dyDescent="0.25">
      <c r="A133" t="s">
        <v>6</v>
      </c>
      <c r="B133" s="46" t="s">
        <v>199</v>
      </c>
    </row>
    <row r="134" spans="1:2" x14ac:dyDescent="0.25">
      <c r="B134" s="46" t="s">
        <v>200</v>
      </c>
    </row>
    <row r="135" spans="1:2" x14ac:dyDescent="0.25">
      <c r="B135" s="46" t="s">
        <v>201</v>
      </c>
    </row>
    <row r="136" spans="1:2" x14ac:dyDescent="0.25">
      <c r="B136" s="46" t="s">
        <v>202</v>
      </c>
    </row>
    <row r="137" spans="1:2" x14ac:dyDescent="0.25">
      <c r="B137" s="46" t="s">
        <v>203</v>
      </c>
    </row>
    <row r="138" spans="1:2" x14ac:dyDescent="0.25">
      <c r="B138" s="46" t="s">
        <v>204</v>
      </c>
    </row>
    <row r="140" spans="1:2" x14ac:dyDescent="0.25">
      <c r="A140" t="s">
        <v>7</v>
      </c>
      <c r="B140" s="46" t="s">
        <v>205</v>
      </c>
    </row>
    <row r="141" spans="1:2" x14ac:dyDescent="0.25">
      <c r="B141" s="46" t="s">
        <v>206</v>
      </c>
    </row>
    <row r="142" spans="1:2" x14ac:dyDescent="0.25">
      <c r="B142" s="46" t="s">
        <v>207</v>
      </c>
    </row>
    <row r="143" spans="1:2" x14ac:dyDescent="0.25">
      <c r="B143" s="46" t="s">
        <v>208</v>
      </c>
    </row>
    <row r="144" spans="1:2" x14ac:dyDescent="0.25">
      <c r="B144" s="46" t="s">
        <v>209</v>
      </c>
    </row>
    <row r="145" spans="1:2" x14ac:dyDescent="0.25">
      <c r="B145" s="46" t="s">
        <v>210</v>
      </c>
    </row>
    <row r="147" spans="1:2" x14ac:dyDescent="0.25">
      <c r="A147" t="s">
        <v>13</v>
      </c>
      <c r="B147" s="46" t="s">
        <v>211</v>
      </c>
    </row>
    <row r="148" spans="1:2" x14ac:dyDescent="0.25">
      <c r="B148" s="46" t="s">
        <v>212</v>
      </c>
    </row>
    <row r="149" spans="1:2" x14ac:dyDescent="0.25">
      <c r="B149" s="46" t="s">
        <v>213</v>
      </c>
    </row>
    <row r="150" spans="1:2" x14ac:dyDescent="0.25">
      <c r="B150" s="46" t="s">
        <v>214</v>
      </c>
    </row>
    <row r="151" spans="1:2" x14ac:dyDescent="0.25">
      <c r="B151" s="46" t="s">
        <v>215</v>
      </c>
    </row>
    <row r="152" spans="1:2" x14ac:dyDescent="0.25">
      <c r="B152" s="46" t="s">
        <v>216</v>
      </c>
    </row>
    <row r="154" spans="1:2" x14ac:dyDescent="0.25">
      <c r="A154" t="s">
        <v>8</v>
      </c>
      <c r="B154" s="46" t="s">
        <v>217</v>
      </c>
    </row>
    <row r="155" spans="1:2" x14ac:dyDescent="0.25">
      <c r="B155" s="46" t="s">
        <v>218</v>
      </c>
    </row>
    <row r="156" spans="1:2" x14ac:dyDescent="0.25">
      <c r="B156" s="46" t="s">
        <v>219</v>
      </c>
    </row>
    <row r="157" spans="1:2" x14ac:dyDescent="0.25">
      <c r="B157" s="46" t="s">
        <v>220</v>
      </c>
    </row>
    <row r="158" spans="1:2" x14ac:dyDescent="0.25">
      <c r="A158" t="s">
        <v>9</v>
      </c>
      <c r="B158" s="46" t="s">
        <v>221</v>
      </c>
    </row>
  </sheetData>
  <pageMargins left="0.70866141732283472" right="0.70866141732283472" top="0.74803149606299213" bottom="0.74803149606299213" header="0.31496062992125984" footer="0.31496062992125984"/>
  <pageSetup paperSize="9" scale="31" orientation="portrait" r:id="rId1"/>
  <headerFooter>
    <oddHeader>&amp;R&amp;"Arial,Regular"&amp;13Public</oddHeader>
    <oddFooter>&amp;C_x000D_&amp;1#&amp;"Calibri"&amp;10&amp;K000000 CONTROLLED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B153"/>
  <sheetViews>
    <sheetView topLeftCell="A73" workbookViewId="0">
      <selection activeCell="B30" sqref="B30"/>
    </sheetView>
  </sheetViews>
  <sheetFormatPr defaultRowHeight="15" x14ac:dyDescent="0.25"/>
  <cols>
    <col min="1" max="1" width="16.140625" customWidth="1"/>
    <col min="2" max="2" width="29" bestFit="1" customWidth="1"/>
  </cols>
  <sheetData>
    <row r="1" spans="1:2" x14ac:dyDescent="0.25">
      <c r="A1" t="s">
        <v>0</v>
      </c>
      <c r="B1" t="s">
        <v>84</v>
      </c>
    </row>
    <row r="2" spans="1:2" x14ac:dyDescent="0.25">
      <c r="A2" t="s">
        <v>222</v>
      </c>
      <c r="B2" t="s">
        <v>85</v>
      </c>
    </row>
    <row r="3" spans="1:2" x14ac:dyDescent="0.25">
      <c r="A3" t="s">
        <v>223</v>
      </c>
      <c r="B3" t="s">
        <v>86</v>
      </c>
    </row>
    <row r="4" spans="1:2" x14ac:dyDescent="0.25">
      <c r="A4" t="s">
        <v>224</v>
      </c>
      <c r="B4" t="s">
        <v>87</v>
      </c>
    </row>
    <row r="5" spans="1:2" x14ac:dyDescent="0.25">
      <c r="A5" t="s">
        <v>225</v>
      </c>
      <c r="B5" t="s">
        <v>336</v>
      </c>
    </row>
    <row r="6" spans="1:2" x14ac:dyDescent="0.25">
      <c r="A6" t="s">
        <v>226</v>
      </c>
      <c r="B6" t="s">
        <v>88</v>
      </c>
    </row>
    <row r="7" spans="1:2" x14ac:dyDescent="0.25">
      <c r="A7" t="s">
        <v>227</v>
      </c>
      <c r="B7" t="s">
        <v>89</v>
      </c>
    </row>
    <row r="8" spans="1:2" x14ac:dyDescent="0.25">
      <c r="A8" t="s">
        <v>228</v>
      </c>
      <c r="B8" t="s">
        <v>90</v>
      </c>
    </row>
    <row r="9" spans="1:2" x14ac:dyDescent="0.25">
      <c r="A9" t="s">
        <v>229</v>
      </c>
      <c r="B9" t="s">
        <v>91</v>
      </c>
    </row>
    <row r="10" spans="1:2" x14ac:dyDescent="0.25">
      <c r="A10" t="s">
        <v>230</v>
      </c>
      <c r="B10" t="s">
        <v>92</v>
      </c>
    </row>
    <row r="11" spans="1:2" x14ac:dyDescent="0.25">
      <c r="A11" t="s">
        <v>231</v>
      </c>
      <c r="B11" t="s">
        <v>93</v>
      </c>
    </row>
    <row r="12" spans="1:2" x14ac:dyDescent="0.25">
      <c r="A12" t="s">
        <v>337</v>
      </c>
      <c r="B12" t="s">
        <v>338</v>
      </c>
    </row>
    <row r="13" spans="1:2" x14ac:dyDescent="0.25">
      <c r="A13" t="s">
        <v>339</v>
      </c>
      <c r="B13" t="s">
        <v>94</v>
      </c>
    </row>
    <row r="14" spans="1:2" x14ac:dyDescent="0.25">
      <c r="A14" t="s">
        <v>68</v>
      </c>
      <c r="B14" t="s">
        <v>95</v>
      </c>
    </row>
    <row r="15" spans="1:2" x14ac:dyDescent="0.25">
      <c r="A15" t="s">
        <v>232</v>
      </c>
      <c r="B15" t="s">
        <v>96</v>
      </c>
    </row>
    <row r="16" spans="1:2" x14ac:dyDescent="0.25">
      <c r="A16" t="s">
        <v>233</v>
      </c>
      <c r="B16" t="s">
        <v>97</v>
      </c>
    </row>
    <row r="17" spans="1:2" x14ac:dyDescent="0.25">
      <c r="A17" t="s">
        <v>234</v>
      </c>
      <c r="B17" t="s">
        <v>98</v>
      </c>
    </row>
    <row r="18" spans="1:2" x14ac:dyDescent="0.25">
      <c r="A18" t="s">
        <v>235</v>
      </c>
      <c r="B18" t="s">
        <v>99</v>
      </c>
    </row>
    <row r="19" spans="1:2" x14ac:dyDescent="0.25">
      <c r="A19" t="s">
        <v>236</v>
      </c>
      <c r="B19" t="s">
        <v>100</v>
      </c>
    </row>
    <row r="20" spans="1:2" x14ac:dyDescent="0.25">
      <c r="A20" t="s">
        <v>340</v>
      </c>
      <c r="B20" t="s">
        <v>341</v>
      </c>
    </row>
    <row r="21" spans="1:2" x14ac:dyDescent="0.25">
      <c r="A21" t="s">
        <v>1</v>
      </c>
      <c r="B21" t="s">
        <v>101</v>
      </c>
    </row>
    <row r="22" spans="1:2" x14ac:dyDescent="0.25">
      <c r="A22" t="s">
        <v>237</v>
      </c>
      <c r="B22" t="s">
        <v>102</v>
      </c>
    </row>
    <row r="23" spans="1:2" x14ac:dyDescent="0.25">
      <c r="A23" t="s">
        <v>238</v>
      </c>
      <c r="B23" t="s">
        <v>103</v>
      </c>
    </row>
    <row r="24" spans="1:2" x14ac:dyDescent="0.25">
      <c r="A24" t="s">
        <v>239</v>
      </c>
      <c r="B24" t="s">
        <v>104</v>
      </c>
    </row>
    <row r="25" spans="1:2" x14ac:dyDescent="0.25">
      <c r="A25" t="s">
        <v>240</v>
      </c>
      <c r="B25" t="s">
        <v>105</v>
      </c>
    </row>
    <row r="26" spans="1:2" x14ac:dyDescent="0.25">
      <c r="A26" t="s">
        <v>342</v>
      </c>
      <c r="B26" t="s">
        <v>343</v>
      </c>
    </row>
    <row r="27" spans="1:2" x14ac:dyDescent="0.25">
      <c r="A27" t="s">
        <v>15</v>
      </c>
      <c r="B27" t="s">
        <v>106</v>
      </c>
    </row>
    <row r="28" spans="1:2" x14ac:dyDescent="0.25">
      <c r="A28" t="s">
        <v>241</v>
      </c>
      <c r="B28" t="s">
        <v>107</v>
      </c>
    </row>
    <row r="29" spans="1:2" x14ac:dyDescent="0.25">
      <c r="A29" t="s">
        <v>242</v>
      </c>
      <c r="B29" t="s">
        <v>108</v>
      </c>
    </row>
    <row r="30" spans="1:2" x14ac:dyDescent="0.25">
      <c r="A30" t="s">
        <v>243</v>
      </c>
      <c r="B30" t="s">
        <v>109</v>
      </c>
    </row>
    <row r="31" spans="1:2" x14ac:dyDescent="0.25">
      <c r="A31" t="s">
        <v>244</v>
      </c>
      <c r="B31" t="s">
        <v>110</v>
      </c>
    </row>
    <row r="32" spans="1:2" x14ac:dyDescent="0.25">
      <c r="A32" t="s">
        <v>245</v>
      </c>
      <c r="B32" t="s">
        <v>111</v>
      </c>
    </row>
    <row r="33" spans="1:2" x14ac:dyDescent="0.25">
      <c r="A33" t="s">
        <v>246</v>
      </c>
      <c r="B33" t="s">
        <v>112</v>
      </c>
    </row>
    <row r="34" spans="1:2" x14ac:dyDescent="0.25">
      <c r="A34" t="s">
        <v>247</v>
      </c>
      <c r="B34" t="s">
        <v>113</v>
      </c>
    </row>
    <row r="35" spans="1:2" x14ac:dyDescent="0.25">
      <c r="A35" t="s">
        <v>248</v>
      </c>
      <c r="B35" t="s">
        <v>114</v>
      </c>
    </row>
    <row r="36" spans="1:2" x14ac:dyDescent="0.25">
      <c r="A36" t="s">
        <v>249</v>
      </c>
      <c r="B36" t="s">
        <v>115</v>
      </c>
    </row>
    <row r="37" spans="1:2" x14ac:dyDescent="0.25">
      <c r="A37" t="s">
        <v>250</v>
      </c>
      <c r="B37" t="s">
        <v>116</v>
      </c>
    </row>
    <row r="38" spans="1:2" x14ac:dyDescent="0.25">
      <c r="A38" t="s">
        <v>251</v>
      </c>
      <c r="B38" t="s">
        <v>117</v>
      </c>
    </row>
    <row r="39" spans="1:2" x14ac:dyDescent="0.25">
      <c r="A39" t="s">
        <v>252</v>
      </c>
      <c r="B39" t="s">
        <v>118</v>
      </c>
    </row>
    <row r="40" spans="1:2" x14ac:dyDescent="0.25">
      <c r="A40" t="s">
        <v>253</v>
      </c>
      <c r="B40" t="s">
        <v>119</v>
      </c>
    </row>
    <row r="41" spans="1:2" x14ac:dyDescent="0.25">
      <c r="A41" t="s">
        <v>254</v>
      </c>
      <c r="B41" t="s">
        <v>120</v>
      </c>
    </row>
    <row r="42" spans="1:2" x14ac:dyDescent="0.25">
      <c r="A42" t="s">
        <v>255</v>
      </c>
      <c r="B42" t="s">
        <v>121</v>
      </c>
    </row>
    <row r="43" spans="1:2" x14ac:dyDescent="0.25">
      <c r="A43" t="s">
        <v>256</v>
      </c>
      <c r="B43" t="s">
        <v>122</v>
      </c>
    </row>
    <row r="44" spans="1:2" x14ac:dyDescent="0.25">
      <c r="A44" t="s">
        <v>257</v>
      </c>
      <c r="B44" t="s">
        <v>123</v>
      </c>
    </row>
    <row r="45" spans="1:2" x14ac:dyDescent="0.25">
      <c r="A45" t="s">
        <v>344</v>
      </c>
      <c r="B45" t="s">
        <v>345</v>
      </c>
    </row>
    <row r="46" spans="1:2" x14ac:dyDescent="0.25">
      <c r="A46" t="s">
        <v>346</v>
      </c>
      <c r="B46" t="s">
        <v>347</v>
      </c>
    </row>
    <row r="47" spans="1:2" x14ac:dyDescent="0.25">
      <c r="A47" t="s">
        <v>69</v>
      </c>
      <c r="B47" t="s">
        <v>124</v>
      </c>
    </row>
    <row r="48" spans="1:2" x14ac:dyDescent="0.25">
      <c r="A48" t="s">
        <v>258</v>
      </c>
      <c r="B48" t="s">
        <v>125</v>
      </c>
    </row>
    <row r="49" spans="1:2" x14ac:dyDescent="0.25">
      <c r="A49" t="s">
        <v>259</v>
      </c>
      <c r="B49" t="s">
        <v>126</v>
      </c>
    </row>
    <row r="50" spans="1:2" x14ac:dyDescent="0.25">
      <c r="A50" t="s">
        <v>260</v>
      </c>
      <c r="B50" t="s">
        <v>127</v>
      </c>
    </row>
    <row r="51" spans="1:2" x14ac:dyDescent="0.25">
      <c r="A51" t="s">
        <v>261</v>
      </c>
      <c r="B51" t="s">
        <v>128</v>
      </c>
    </row>
    <row r="52" spans="1:2" x14ac:dyDescent="0.25">
      <c r="A52" t="s">
        <v>262</v>
      </c>
      <c r="B52" t="s">
        <v>129</v>
      </c>
    </row>
    <row r="53" spans="1:2" x14ac:dyDescent="0.25">
      <c r="A53" t="s">
        <v>348</v>
      </c>
      <c r="B53" t="s">
        <v>349</v>
      </c>
    </row>
    <row r="54" spans="1:2" x14ac:dyDescent="0.25">
      <c r="A54" t="s">
        <v>16</v>
      </c>
      <c r="B54" t="s">
        <v>130</v>
      </c>
    </row>
    <row r="55" spans="1:2" x14ac:dyDescent="0.25">
      <c r="A55" t="s">
        <v>263</v>
      </c>
      <c r="B55" t="s">
        <v>131</v>
      </c>
    </row>
    <row r="56" spans="1:2" x14ac:dyDescent="0.25">
      <c r="A56" t="s">
        <v>264</v>
      </c>
      <c r="B56" t="s">
        <v>132</v>
      </c>
    </row>
    <row r="57" spans="1:2" x14ac:dyDescent="0.25">
      <c r="A57" t="s">
        <v>265</v>
      </c>
      <c r="B57" t="s">
        <v>133</v>
      </c>
    </row>
    <row r="58" spans="1:2" x14ac:dyDescent="0.25">
      <c r="A58" t="s">
        <v>266</v>
      </c>
      <c r="B58" t="s">
        <v>134</v>
      </c>
    </row>
    <row r="59" spans="1:2" x14ac:dyDescent="0.25">
      <c r="A59" t="s">
        <v>267</v>
      </c>
      <c r="B59" t="s">
        <v>135</v>
      </c>
    </row>
    <row r="60" spans="1:2" x14ac:dyDescent="0.25">
      <c r="A60" t="s">
        <v>268</v>
      </c>
      <c r="B60" t="s">
        <v>136</v>
      </c>
    </row>
    <row r="61" spans="1:2" x14ac:dyDescent="0.25">
      <c r="A61" t="s">
        <v>269</v>
      </c>
      <c r="B61" t="s">
        <v>137</v>
      </c>
    </row>
    <row r="62" spans="1:2" x14ac:dyDescent="0.25">
      <c r="A62" t="s">
        <v>270</v>
      </c>
      <c r="B62" t="s">
        <v>138</v>
      </c>
    </row>
    <row r="63" spans="1:2" x14ac:dyDescent="0.25">
      <c r="A63" t="s">
        <v>271</v>
      </c>
      <c r="B63" t="s">
        <v>139</v>
      </c>
    </row>
    <row r="64" spans="1:2" x14ac:dyDescent="0.25">
      <c r="A64" t="s">
        <v>272</v>
      </c>
      <c r="B64" t="s">
        <v>140</v>
      </c>
    </row>
    <row r="65" spans="1:2" x14ac:dyDescent="0.25">
      <c r="A65" t="s">
        <v>273</v>
      </c>
      <c r="B65" t="s">
        <v>141</v>
      </c>
    </row>
    <row r="66" spans="1:2" x14ac:dyDescent="0.25">
      <c r="A66" t="s">
        <v>274</v>
      </c>
      <c r="B66" t="s">
        <v>142</v>
      </c>
    </row>
    <row r="67" spans="1:2" x14ac:dyDescent="0.25">
      <c r="A67" t="s">
        <v>350</v>
      </c>
      <c r="B67" t="s">
        <v>351</v>
      </c>
    </row>
    <row r="68" spans="1:2" x14ac:dyDescent="0.25">
      <c r="A68" t="s">
        <v>352</v>
      </c>
      <c r="B68" t="s">
        <v>353</v>
      </c>
    </row>
    <row r="69" spans="1:2" x14ac:dyDescent="0.25">
      <c r="A69" t="s">
        <v>143</v>
      </c>
      <c r="B69" t="s">
        <v>144</v>
      </c>
    </row>
    <row r="70" spans="1:2" x14ac:dyDescent="0.25">
      <c r="A70" t="s">
        <v>275</v>
      </c>
      <c r="B70" t="s">
        <v>145</v>
      </c>
    </row>
    <row r="71" spans="1:2" x14ac:dyDescent="0.25">
      <c r="A71" t="s">
        <v>276</v>
      </c>
      <c r="B71" t="s">
        <v>146</v>
      </c>
    </row>
    <row r="72" spans="1:2" x14ac:dyDescent="0.25">
      <c r="A72" t="s">
        <v>277</v>
      </c>
      <c r="B72" t="s">
        <v>147</v>
      </c>
    </row>
    <row r="73" spans="1:2" x14ac:dyDescent="0.25">
      <c r="A73" t="s">
        <v>278</v>
      </c>
      <c r="B73" t="s">
        <v>148</v>
      </c>
    </row>
    <row r="74" spans="1:2" x14ac:dyDescent="0.25">
      <c r="A74" t="s">
        <v>354</v>
      </c>
      <c r="B74" t="s">
        <v>355</v>
      </c>
    </row>
    <row r="75" spans="1:2" x14ac:dyDescent="0.25">
      <c r="A75" t="s">
        <v>2</v>
      </c>
      <c r="B75" t="s">
        <v>149</v>
      </c>
    </row>
    <row r="76" spans="1:2" x14ac:dyDescent="0.25">
      <c r="A76" t="s">
        <v>14</v>
      </c>
      <c r="B76" t="s">
        <v>150</v>
      </c>
    </row>
    <row r="77" spans="1:2" x14ac:dyDescent="0.25">
      <c r="A77" t="s">
        <v>279</v>
      </c>
      <c r="B77" t="s">
        <v>151</v>
      </c>
    </row>
    <row r="78" spans="1:2" x14ac:dyDescent="0.25">
      <c r="A78" t="s">
        <v>280</v>
      </c>
      <c r="B78" t="s">
        <v>152</v>
      </c>
    </row>
    <row r="79" spans="1:2" x14ac:dyDescent="0.25">
      <c r="A79" t="s">
        <v>281</v>
      </c>
      <c r="B79" t="s">
        <v>153</v>
      </c>
    </row>
    <row r="80" spans="1:2" x14ac:dyDescent="0.25">
      <c r="A80" t="s">
        <v>282</v>
      </c>
      <c r="B80" t="s">
        <v>154</v>
      </c>
    </row>
    <row r="81" spans="1:2" x14ac:dyDescent="0.25">
      <c r="A81" t="s">
        <v>283</v>
      </c>
      <c r="B81" t="s">
        <v>155</v>
      </c>
    </row>
    <row r="82" spans="1:2" x14ac:dyDescent="0.25">
      <c r="A82" t="s">
        <v>356</v>
      </c>
      <c r="B82" t="s">
        <v>357</v>
      </c>
    </row>
    <row r="83" spans="1:2" x14ac:dyDescent="0.25">
      <c r="A83" t="s">
        <v>3</v>
      </c>
      <c r="B83" t="s">
        <v>156</v>
      </c>
    </row>
    <row r="84" spans="1:2" x14ac:dyDescent="0.25">
      <c r="A84" t="s">
        <v>157</v>
      </c>
      <c r="B84" t="s">
        <v>158</v>
      </c>
    </row>
    <row r="85" spans="1:2" x14ac:dyDescent="0.25">
      <c r="A85" t="s">
        <v>284</v>
      </c>
      <c r="B85" t="s">
        <v>159</v>
      </c>
    </row>
    <row r="86" spans="1:2" x14ac:dyDescent="0.25">
      <c r="A86" t="s">
        <v>285</v>
      </c>
      <c r="B86" t="s">
        <v>160</v>
      </c>
    </row>
    <row r="87" spans="1:2" x14ac:dyDescent="0.25">
      <c r="A87" t="s">
        <v>286</v>
      </c>
      <c r="B87" t="s">
        <v>161</v>
      </c>
    </row>
    <row r="88" spans="1:2" x14ac:dyDescent="0.25">
      <c r="A88" t="s">
        <v>287</v>
      </c>
      <c r="B88" t="s">
        <v>162</v>
      </c>
    </row>
    <row r="89" spans="1:2" x14ac:dyDescent="0.25">
      <c r="A89" t="s">
        <v>288</v>
      </c>
      <c r="B89" t="s">
        <v>163</v>
      </c>
    </row>
    <row r="90" spans="1:2" x14ac:dyDescent="0.25">
      <c r="A90" t="s">
        <v>358</v>
      </c>
      <c r="B90" t="s">
        <v>359</v>
      </c>
    </row>
    <row r="91" spans="1:2" x14ac:dyDescent="0.25">
      <c r="A91" t="s">
        <v>425</v>
      </c>
      <c r="B91" t="s">
        <v>164</v>
      </c>
    </row>
    <row r="92" spans="1:2" x14ac:dyDescent="0.25">
      <c r="A92" t="s">
        <v>426</v>
      </c>
      <c r="B92" t="s">
        <v>165</v>
      </c>
    </row>
    <row r="93" spans="1:2" x14ac:dyDescent="0.25">
      <c r="A93" t="s">
        <v>12</v>
      </c>
      <c r="B93" t="s">
        <v>166</v>
      </c>
    </row>
    <row r="94" spans="1:2" x14ac:dyDescent="0.25">
      <c r="A94" t="s">
        <v>289</v>
      </c>
      <c r="B94" t="s">
        <v>167</v>
      </c>
    </row>
    <row r="95" spans="1:2" x14ac:dyDescent="0.25">
      <c r="A95" t="s">
        <v>290</v>
      </c>
      <c r="B95" t="s">
        <v>168</v>
      </c>
    </row>
    <row r="96" spans="1:2" x14ac:dyDescent="0.25">
      <c r="A96" t="s">
        <v>291</v>
      </c>
      <c r="B96" t="s">
        <v>169</v>
      </c>
    </row>
    <row r="97" spans="1:2" x14ac:dyDescent="0.25">
      <c r="A97" t="s">
        <v>292</v>
      </c>
      <c r="B97" t="s">
        <v>170</v>
      </c>
    </row>
    <row r="98" spans="1:2" x14ac:dyDescent="0.25">
      <c r="A98" t="s">
        <v>293</v>
      </c>
      <c r="B98" t="s">
        <v>171</v>
      </c>
    </row>
    <row r="99" spans="1:2" x14ac:dyDescent="0.25">
      <c r="A99" t="s">
        <v>294</v>
      </c>
      <c r="B99" t="s">
        <v>172</v>
      </c>
    </row>
    <row r="100" spans="1:2" x14ac:dyDescent="0.25">
      <c r="A100" t="s">
        <v>70</v>
      </c>
      <c r="B100" t="s">
        <v>173</v>
      </c>
    </row>
    <row r="101" spans="1:2" x14ac:dyDescent="0.25">
      <c r="A101" t="s">
        <v>295</v>
      </c>
      <c r="B101" t="s">
        <v>174</v>
      </c>
    </row>
    <row r="102" spans="1:2" x14ac:dyDescent="0.25">
      <c r="A102" t="s">
        <v>296</v>
      </c>
      <c r="B102" t="s">
        <v>175</v>
      </c>
    </row>
    <row r="103" spans="1:2" x14ac:dyDescent="0.25">
      <c r="A103" t="s">
        <v>297</v>
      </c>
      <c r="B103" t="s">
        <v>176</v>
      </c>
    </row>
    <row r="104" spans="1:2" x14ac:dyDescent="0.25">
      <c r="A104" t="s">
        <v>298</v>
      </c>
      <c r="B104" t="s">
        <v>177</v>
      </c>
    </row>
    <row r="105" spans="1:2" x14ac:dyDescent="0.25">
      <c r="A105" t="s">
        <v>299</v>
      </c>
      <c r="B105" t="s">
        <v>178</v>
      </c>
    </row>
    <row r="106" spans="1:2" x14ac:dyDescent="0.25">
      <c r="A106" t="s">
        <v>360</v>
      </c>
      <c r="B106" t="s">
        <v>361</v>
      </c>
    </row>
    <row r="107" spans="1:2" x14ac:dyDescent="0.25">
      <c r="A107" t="s">
        <v>4</v>
      </c>
      <c r="B107" t="s">
        <v>182</v>
      </c>
    </row>
    <row r="108" spans="1:2" x14ac:dyDescent="0.25">
      <c r="A108" t="s">
        <v>71</v>
      </c>
      <c r="B108" t="s">
        <v>180</v>
      </c>
    </row>
    <row r="109" spans="1:2" x14ac:dyDescent="0.25">
      <c r="A109" t="s">
        <v>300</v>
      </c>
      <c r="B109" t="s">
        <v>181</v>
      </c>
    </row>
    <row r="110" spans="1:2" x14ac:dyDescent="0.25">
      <c r="A110" t="s">
        <v>372</v>
      </c>
      <c r="B110" s="46" t="s">
        <v>371</v>
      </c>
    </row>
    <row r="111" spans="1:2" x14ac:dyDescent="0.25">
      <c r="A111" t="s">
        <v>5</v>
      </c>
      <c r="B111" t="s">
        <v>183</v>
      </c>
    </row>
    <row r="112" spans="1:2" x14ac:dyDescent="0.25">
      <c r="A112" t="s">
        <v>301</v>
      </c>
      <c r="B112" t="s">
        <v>184</v>
      </c>
    </row>
    <row r="113" spans="1:2" x14ac:dyDescent="0.25">
      <c r="A113" t="s">
        <v>302</v>
      </c>
      <c r="B113" t="s">
        <v>185</v>
      </c>
    </row>
    <row r="114" spans="1:2" x14ac:dyDescent="0.25">
      <c r="A114" t="s">
        <v>303</v>
      </c>
      <c r="B114" t="s">
        <v>186</v>
      </c>
    </row>
    <row r="115" spans="1:2" x14ac:dyDescent="0.25">
      <c r="A115" t="s">
        <v>304</v>
      </c>
      <c r="B115" t="s">
        <v>187</v>
      </c>
    </row>
    <row r="116" spans="1:2" x14ac:dyDescent="0.25">
      <c r="A116" t="s">
        <v>305</v>
      </c>
      <c r="B116" t="s">
        <v>188</v>
      </c>
    </row>
    <row r="117" spans="1:2" x14ac:dyDescent="0.25">
      <c r="A117" t="s">
        <v>362</v>
      </c>
      <c r="B117" t="s">
        <v>363</v>
      </c>
    </row>
    <row r="118" spans="1:2" x14ac:dyDescent="0.25">
      <c r="A118" t="s">
        <v>189</v>
      </c>
      <c r="B118" t="s">
        <v>190</v>
      </c>
    </row>
    <row r="119" spans="1:2" x14ac:dyDescent="0.25">
      <c r="A119" t="s">
        <v>10</v>
      </c>
      <c r="B119" t="s">
        <v>191</v>
      </c>
    </row>
    <row r="120" spans="1:2" x14ac:dyDescent="0.25">
      <c r="A120" t="s">
        <v>306</v>
      </c>
      <c r="B120" t="s">
        <v>192</v>
      </c>
    </row>
    <row r="121" spans="1:2" x14ac:dyDescent="0.25">
      <c r="A121" t="s">
        <v>307</v>
      </c>
      <c r="B121" t="s">
        <v>193</v>
      </c>
    </row>
    <row r="122" spans="1:2" x14ac:dyDescent="0.25">
      <c r="A122" t="s">
        <v>308</v>
      </c>
      <c r="B122" t="s">
        <v>194</v>
      </c>
    </row>
    <row r="123" spans="1:2" x14ac:dyDescent="0.25">
      <c r="A123" t="s">
        <v>309</v>
      </c>
      <c r="B123" t="s">
        <v>195</v>
      </c>
    </row>
    <row r="124" spans="1:2" x14ac:dyDescent="0.25">
      <c r="A124" t="s">
        <v>310</v>
      </c>
      <c r="B124" t="s">
        <v>364</v>
      </c>
    </row>
    <row r="125" spans="1:2" x14ac:dyDescent="0.25">
      <c r="A125" t="s">
        <v>310</v>
      </c>
      <c r="B125" t="s">
        <v>196</v>
      </c>
    </row>
    <row r="126" spans="1:2" x14ac:dyDescent="0.25">
      <c r="A126" t="s">
        <v>311</v>
      </c>
      <c r="B126" t="s">
        <v>197</v>
      </c>
    </row>
    <row r="127" spans="1:2" x14ac:dyDescent="0.25">
      <c r="A127" t="s">
        <v>312</v>
      </c>
      <c r="B127" t="s">
        <v>198</v>
      </c>
    </row>
    <row r="128" spans="1:2" x14ac:dyDescent="0.25">
      <c r="A128" t="s">
        <v>6</v>
      </c>
      <c r="B128" t="s">
        <v>199</v>
      </c>
    </row>
    <row r="129" spans="1:2" x14ac:dyDescent="0.25">
      <c r="A129" t="s">
        <v>313</v>
      </c>
      <c r="B129" t="s">
        <v>200</v>
      </c>
    </row>
    <row r="130" spans="1:2" x14ac:dyDescent="0.25">
      <c r="A130" t="s">
        <v>314</v>
      </c>
      <c r="B130" t="s">
        <v>201</v>
      </c>
    </row>
    <row r="131" spans="1:2" x14ac:dyDescent="0.25">
      <c r="A131" t="s">
        <v>315</v>
      </c>
      <c r="B131" t="s">
        <v>202</v>
      </c>
    </row>
    <row r="132" spans="1:2" x14ac:dyDescent="0.25">
      <c r="A132" t="s">
        <v>316</v>
      </c>
      <c r="B132" t="s">
        <v>203</v>
      </c>
    </row>
    <row r="133" spans="1:2" x14ac:dyDescent="0.25">
      <c r="A133" t="s">
        <v>317</v>
      </c>
      <c r="B133" t="s">
        <v>204</v>
      </c>
    </row>
    <row r="134" spans="1:2" x14ac:dyDescent="0.25">
      <c r="A134" t="s">
        <v>365</v>
      </c>
      <c r="B134" t="s">
        <v>366</v>
      </c>
    </row>
    <row r="135" spans="1:2" x14ac:dyDescent="0.25">
      <c r="A135" t="s">
        <v>7</v>
      </c>
      <c r="B135" t="s">
        <v>205</v>
      </c>
    </row>
    <row r="136" spans="1:2" x14ac:dyDescent="0.25">
      <c r="A136" t="s">
        <v>318</v>
      </c>
      <c r="B136" t="s">
        <v>206</v>
      </c>
    </row>
    <row r="137" spans="1:2" x14ac:dyDescent="0.25">
      <c r="A137" t="s">
        <v>319</v>
      </c>
      <c r="B137" t="s">
        <v>207</v>
      </c>
    </row>
    <row r="138" spans="1:2" x14ac:dyDescent="0.25">
      <c r="A138" t="s">
        <v>320</v>
      </c>
      <c r="B138" t="s">
        <v>208</v>
      </c>
    </row>
    <row r="139" spans="1:2" x14ac:dyDescent="0.25">
      <c r="A139" t="s">
        <v>321</v>
      </c>
      <c r="B139" t="s">
        <v>209</v>
      </c>
    </row>
    <row r="140" spans="1:2" x14ac:dyDescent="0.25">
      <c r="A140" t="s">
        <v>322</v>
      </c>
      <c r="B140" t="s">
        <v>210</v>
      </c>
    </row>
    <row r="141" spans="1:2" x14ac:dyDescent="0.25">
      <c r="A141" t="s">
        <v>367</v>
      </c>
      <c r="B141" t="s">
        <v>368</v>
      </c>
    </row>
    <row r="142" spans="1:2" x14ac:dyDescent="0.25">
      <c r="A142" t="s">
        <v>13</v>
      </c>
      <c r="B142" t="s">
        <v>211</v>
      </c>
    </row>
    <row r="143" spans="1:2" x14ac:dyDescent="0.25">
      <c r="A143" t="s">
        <v>323</v>
      </c>
      <c r="B143" t="s">
        <v>212</v>
      </c>
    </row>
    <row r="144" spans="1:2" x14ac:dyDescent="0.25">
      <c r="A144" t="s">
        <v>324</v>
      </c>
      <c r="B144" t="s">
        <v>213</v>
      </c>
    </row>
    <row r="145" spans="1:2" x14ac:dyDescent="0.25">
      <c r="A145" t="s">
        <v>325</v>
      </c>
      <c r="B145" t="s">
        <v>214</v>
      </c>
    </row>
    <row r="146" spans="1:2" x14ac:dyDescent="0.25">
      <c r="A146" t="s">
        <v>326</v>
      </c>
      <c r="B146" t="s">
        <v>215</v>
      </c>
    </row>
    <row r="147" spans="1:2" x14ac:dyDescent="0.25">
      <c r="A147" t="s">
        <v>327</v>
      </c>
      <c r="B147" t="s">
        <v>216</v>
      </c>
    </row>
    <row r="148" spans="1:2" x14ac:dyDescent="0.25">
      <c r="A148" t="s">
        <v>369</v>
      </c>
      <c r="B148" t="s">
        <v>370</v>
      </c>
    </row>
    <row r="149" spans="1:2" x14ac:dyDescent="0.25">
      <c r="A149" t="s">
        <v>8</v>
      </c>
      <c r="B149" t="s">
        <v>217</v>
      </c>
    </row>
    <row r="150" spans="1:2" x14ac:dyDescent="0.25">
      <c r="A150" t="s">
        <v>328</v>
      </c>
      <c r="B150" t="s">
        <v>218</v>
      </c>
    </row>
    <row r="151" spans="1:2" x14ac:dyDescent="0.25">
      <c r="A151" t="s">
        <v>329</v>
      </c>
      <c r="B151" t="s">
        <v>219</v>
      </c>
    </row>
    <row r="152" spans="1:2" x14ac:dyDescent="0.25">
      <c r="A152" t="s">
        <v>330</v>
      </c>
      <c r="B152" t="s">
        <v>220</v>
      </c>
    </row>
    <row r="153" spans="1:2" x14ac:dyDescent="0.25">
      <c r="A153" t="s">
        <v>9</v>
      </c>
      <c r="B153" t="s">
        <v>221</v>
      </c>
    </row>
  </sheetData>
  <pageMargins left="0.7" right="0.7" top="0.75" bottom="0.75" header="0.3" footer="0.3"/>
  <headerFooter>
    <oddFooter>&amp;C_x000D_&amp;1#&amp;"Calibri"&amp;10&amp;K000000 CONTROLLED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Information page</vt:lpstr>
      <vt:lpstr>Graphs</vt:lpstr>
      <vt:lpstr>Graphs %</vt:lpstr>
      <vt:lpstr>Utilities</vt:lpstr>
      <vt:lpstr>Teaching</vt:lpstr>
      <vt:lpstr>Support staff</vt:lpstr>
      <vt:lpstr>Data</vt:lpstr>
      <vt:lpstr>Cost elements</vt:lpstr>
      <vt:lpstr>Lookup</vt:lpstr>
      <vt:lpstr>column</vt:lpstr>
      <vt:lpstr>column2</vt:lpstr>
      <vt:lpstr>cost</vt:lpstr>
      <vt:lpstr>data</vt:lpstr>
      <vt:lpstr>day</vt:lpstr>
      <vt:lpstr>Data!Print_Area</vt:lpstr>
      <vt:lpstr>Graphs!Print_Area</vt:lpstr>
      <vt:lpstr>'Graphs %'!Print_Area</vt:lpstr>
      <vt:lpstr>Data!Print_Titles</vt:lpstr>
    </vt:vector>
  </TitlesOfParts>
  <Company>Derbyshire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Wainwright</dc:creator>
  <cp:lastModifiedBy>Karen Sellors (Corporate Services and Transformation)</cp:lastModifiedBy>
  <cp:lastPrinted>2016-12-07T16:15:26Z</cp:lastPrinted>
  <dcterms:created xsi:type="dcterms:W3CDTF">2013-08-09T13:02:07Z</dcterms:created>
  <dcterms:modified xsi:type="dcterms:W3CDTF">2025-08-29T08:30:22Z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8904da-5dbb-4716-9521-7a682c6e8720_Enabled">
    <vt:lpwstr>true</vt:lpwstr>
  </property>
  <property fmtid="{D5CDD505-2E9C-101B-9397-08002B2CF9AE}" pid="3" name="MSIP_Label_768904da-5dbb-4716-9521-7a682c6e8720_SetDate">
    <vt:lpwstr>2024-08-12T18:17:52Z</vt:lpwstr>
  </property>
  <property fmtid="{D5CDD505-2E9C-101B-9397-08002B2CF9AE}" pid="4" name="MSIP_Label_768904da-5dbb-4716-9521-7a682c6e8720_Method">
    <vt:lpwstr>Standard</vt:lpwstr>
  </property>
  <property fmtid="{D5CDD505-2E9C-101B-9397-08002B2CF9AE}" pid="5" name="MSIP_Label_768904da-5dbb-4716-9521-7a682c6e8720_Name">
    <vt:lpwstr>DCC Controlled</vt:lpwstr>
  </property>
  <property fmtid="{D5CDD505-2E9C-101B-9397-08002B2CF9AE}" pid="6" name="MSIP_Label_768904da-5dbb-4716-9521-7a682c6e8720_SiteId">
    <vt:lpwstr>429a8eb3-3210-4e1a-aaa2-6ccde0ddabc5</vt:lpwstr>
  </property>
  <property fmtid="{D5CDD505-2E9C-101B-9397-08002B2CF9AE}" pid="7" name="MSIP_Label_768904da-5dbb-4716-9521-7a682c6e8720_ActionId">
    <vt:lpwstr>be13c56a-97a2-4d17-9bb8-d189f268308f</vt:lpwstr>
  </property>
  <property fmtid="{D5CDD505-2E9C-101B-9397-08002B2CF9AE}" pid="8" name="MSIP_Label_768904da-5dbb-4716-9521-7a682c6e8720_ContentBits">
    <vt:lpwstr>2</vt:lpwstr>
  </property>
</Properties>
</file>